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13389709928724/Desktop/"/>
    </mc:Choice>
  </mc:AlternateContent>
  <xr:revisionPtr revIDLastSave="0" documentId="8_{20E424D2-670D-4767-A352-5C04E17B5EBC}" xr6:coauthVersionLast="47" xr6:coauthVersionMax="47" xr10:uidLastSave="{00000000-0000-0000-0000-000000000000}"/>
  <bookViews>
    <workbookView xWindow="-110" yWindow="-110" windowWidth="19420" windowHeight="10420" activeTab="1" xr2:uid="{831E5861-14DF-4FC4-B9E6-A04C93F2B348}"/>
  </bookViews>
  <sheets>
    <sheet name="Chart1" sheetId="3" r:id="rId1"/>
    <sheet name="Sheet1" sheetId="1" r:id="rId2"/>
    <sheet name="Sheet2" sheetId="2" r:id="rId3"/>
    <sheet name="Sheet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 a="1"/>
  <c r="C43" i="1" s="1"/>
  <c r="K43" i="1" a="1"/>
  <c r="K43" i="1" s="1"/>
  <c r="V48" i="1" a="1"/>
  <c r="V48" i="1" s="1"/>
  <c r="W48" i="1" s="1"/>
  <c r="X48" i="1" s="1"/>
  <c r="V47" i="1" a="1"/>
  <c r="V47" i="1" s="1"/>
  <c r="W47" i="1" s="1"/>
  <c r="X47" i="1" s="1"/>
  <c r="V46" i="1" a="1"/>
  <c r="V46" i="1" s="1"/>
  <c r="W46" i="1" s="1"/>
  <c r="X46" i="1" s="1"/>
  <c r="V45" i="1" a="1"/>
  <c r="V45" i="1" s="1"/>
  <c r="W45" i="1" s="1"/>
  <c r="X45" i="1" s="1"/>
  <c r="V44" i="1" a="1"/>
  <c r="V44" i="1" s="1"/>
  <c r="W44" i="1" s="1"/>
  <c r="X44" i="1" s="1"/>
  <c r="V43" i="1" a="1"/>
  <c r="V43" i="1" s="1"/>
  <c r="W43" i="1" s="1"/>
  <c r="AA43" i="1" s="1"/>
  <c r="C34" i="1"/>
  <c r="C19" i="1"/>
  <c r="C18" i="1"/>
  <c r="U46" i="1" s="1"/>
  <c r="S48" i="1" a="1"/>
  <c r="S48" i="1" s="1"/>
  <c r="S47" i="1" a="1"/>
  <c r="S47" i="1" s="1"/>
  <c r="S46" i="1" a="1"/>
  <c r="S46" i="1" s="1"/>
  <c r="S45" i="1" a="1"/>
  <c r="S45" i="1" s="1"/>
  <c r="S44" i="1" a="1"/>
  <c r="S44" i="1" s="1"/>
  <c r="S43" i="1" a="1"/>
  <c r="S43" i="1" s="1"/>
  <c r="Q48" i="1" a="1"/>
  <c r="Q48" i="1" s="1"/>
  <c r="Q47" i="1" a="1"/>
  <c r="Q47" i="1" s="1"/>
  <c r="Q46" i="1" a="1"/>
  <c r="Q46" i="1" s="1"/>
  <c r="Q45" i="1" a="1"/>
  <c r="Q45" i="1" s="1"/>
  <c r="Q44" i="1" a="1"/>
  <c r="Q44" i="1" s="1"/>
  <c r="Q43" i="1" a="1"/>
  <c r="Q43" i="1" s="1"/>
  <c r="D43" i="1" a="1"/>
  <c r="D43" i="1" s="1"/>
  <c r="E43" i="1" a="1"/>
  <c r="E43" i="1" s="1"/>
  <c r="F43" i="1" a="1"/>
  <c r="F43" i="1" s="1"/>
  <c r="G43" i="1" a="1"/>
  <c r="G43" i="1" s="1"/>
  <c r="H43" i="1" a="1"/>
  <c r="H43" i="1" s="1"/>
  <c r="I43" i="1" a="1"/>
  <c r="I43" i="1" s="1"/>
  <c r="J43" i="1" a="1"/>
  <c r="J43" i="1" s="1"/>
  <c r="L43" i="1" a="1"/>
  <c r="L43" i="1" s="1"/>
  <c r="M43" i="1" a="1"/>
  <c r="M43" i="1" s="1"/>
  <c r="N43" i="1" a="1"/>
  <c r="N43" i="1" s="1"/>
  <c r="O43" i="1" a="1"/>
  <c r="O43" i="1" s="1"/>
  <c r="D44" i="1" a="1"/>
  <c r="D44" i="1" s="1"/>
  <c r="E44" i="1" a="1"/>
  <c r="E44" i="1" s="1"/>
  <c r="F44" i="1" a="1"/>
  <c r="F44" i="1" s="1"/>
  <c r="G44" i="1" a="1"/>
  <c r="G44" i="1" s="1"/>
  <c r="H44" i="1" a="1"/>
  <c r="H44" i="1" s="1"/>
  <c r="I44" i="1" a="1"/>
  <c r="I44" i="1" s="1"/>
  <c r="J44" i="1" a="1"/>
  <c r="J44" i="1" s="1"/>
  <c r="K44" i="1" a="1"/>
  <c r="K44" i="1" s="1"/>
  <c r="L44" i="1" a="1"/>
  <c r="L44" i="1" s="1"/>
  <c r="M44" i="1" a="1"/>
  <c r="M44" i="1" s="1"/>
  <c r="N44" i="1" a="1"/>
  <c r="N44" i="1" s="1"/>
  <c r="O44" i="1" a="1"/>
  <c r="O44" i="1" s="1"/>
  <c r="D45" i="1" a="1"/>
  <c r="D45" i="1" s="1"/>
  <c r="E45" i="1" a="1"/>
  <c r="E45" i="1" s="1"/>
  <c r="F45" i="1" a="1"/>
  <c r="F45" i="1" s="1"/>
  <c r="G45" i="1" a="1"/>
  <c r="G45" i="1" s="1"/>
  <c r="H45" i="1" a="1"/>
  <c r="H45" i="1" s="1"/>
  <c r="I45" i="1" a="1"/>
  <c r="I45" i="1" s="1"/>
  <c r="J45" i="1" a="1"/>
  <c r="J45" i="1" s="1"/>
  <c r="K45" i="1" a="1"/>
  <c r="K45" i="1" s="1"/>
  <c r="L45" i="1" a="1"/>
  <c r="L45" i="1" s="1"/>
  <c r="M45" i="1" a="1"/>
  <c r="M45" i="1" s="1"/>
  <c r="N45" i="1" a="1"/>
  <c r="N45" i="1" s="1"/>
  <c r="O45" i="1" a="1"/>
  <c r="O45" i="1" s="1"/>
  <c r="D46" i="1" a="1"/>
  <c r="D46" i="1" s="1"/>
  <c r="E46" i="1" a="1"/>
  <c r="E46" i="1" s="1"/>
  <c r="F46" i="1" a="1"/>
  <c r="F46" i="1" s="1"/>
  <c r="G46" i="1" a="1"/>
  <c r="G46" i="1" s="1"/>
  <c r="H46" i="1" a="1"/>
  <c r="H46" i="1" s="1"/>
  <c r="I46" i="1" a="1"/>
  <c r="I46" i="1" s="1"/>
  <c r="J46" i="1" a="1"/>
  <c r="J46" i="1" s="1"/>
  <c r="K46" i="1" a="1"/>
  <c r="K46" i="1" s="1"/>
  <c r="L46" i="1" a="1"/>
  <c r="L46" i="1" s="1"/>
  <c r="M46" i="1" a="1"/>
  <c r="M46" i="1" s="1"/>
  <c r="N46" i="1" a="1"/>
  <c r="N46" i="1" s="1"/>
  <c r="O46" i="1" a="1"/>
  <c r="O46" i="1" s="1"/>
  <c r="D47" i="1" a="1"/>
  <c r="D47" i="1" s="1"/>
  <c r="E47" i="1" a="1"/>
  <c r="E47" i="1" s="1"/>
  <c r="F47" i="1" a="1"/>
  <c r="F47" i="1" s="1"/>
  <c r="G47" i="1" a="1"/>
  <c r="G47" i="1" s="1"/>
  <c r="H47" i="1" a="1"/>
  <c r="H47" i="1" s="1"/>
  <c r="I47" i="1" a="1"/>
  <c r="I47" i="1" s="1"/>
  <c r="J47" i="1" a="1"/>
  <c r="J47" i="1" s="1"/>
  <c r="K47" i="1" a="1"/>
  <c r="K47" i="1" s="1"/>
  <c r="L47" i="1" a="1"/>
  <c r="L47" i="1" s="1"/>
  <c r="M47" i="1" a="1"/>
  <c r="M47" i="1" s="1"/>
  <c r="N47" i="1" a="1"/>
  <c r="N47" i="1" s="1"/>
  <c r="O47" i="1" a="1"/>
  <c r="O47" i="1" s="1"/>
  <c r="D48" i="1" a="1"/>
  <c r="D48" i="1" s="1"/>
  <c r="E48" i="1" a="1"/>
  <c r="E48" i="1" s="1"/>
  <c r="F48" i="1" a="1"/>
  <c r="F48" i="1" s="1"/>
  <c r="G48" i="1" a="1"/>
  <c r="G48" i="1" s="1"/>
  <c r="H48" i="1" a="1"/>
  <c r="H48" i="1" s="1"/>
  <c r="I48" i="1" a="1"/>
  <c r="I48" i="1" s="1"/>
  <c r="J48" i="1" a="1"/>
  <c r="J48" i="1" s="1"/>
  <c r="K48" i="1" a="1"/>
  <c r="K48" i="1" s="1"/>
  <c r="L48" i="1" a="1"/>
  <c r="L48" i="1" s="1"/>
  <c r="M48" i="1" a="1"/>
  <c r="M48" i="1" s="1"/>
  <c r="N48" i="1" a="1"/>
  <c r="N48" i="1" s="1"/>
  <c r="O48" i="1" a="1"/>
  <c r="O48" i="1" s="1"/>
  <c r="C48" i="1" a="1"/>
  <c r="C48" i="1" s="1"/>
  <c r="C47" i="1" a="1"/>
  <c r="C47" i="1" s="1"/>
  <c r="C46" i="1" a="1"/>
  <c r="C46" i="1" s="1"/>
  <c r="C45" i="1" a="1"/>
  <c r="C45" i="1" s="1"/>
  <c r="C44" i="1" a="1"/>
  <c r="C44" i="1" s="1"/>
  <c r="E17" i="1"/>
  <c r="D41" i="1"/>
  <c r="E41" i="1"/>
  <c r="F41" i="1"/>
  <c r="G41" i="1"/>
  <c r="H41" i="1"/>
  <c r="I41" i="1"/>
  <c r="J41" i="1"/>
  <c r="K41" i="1"/>
  <c r="L41" i="1"/>
  <c r="M41" i="1"/>
  <c r="N41" i="1"/>
  <c r="O41" i="1"/>
  <c r="C41" i="1"/>
  <c r="F32" i="1"/>
  <c r="H32" i="1" s="1"/>
  <c r="C16" i="1"/>
  <c r="C17" i="1" s="1"/>
  <c r="U44" i="1" s="1"/>
  <c r="C15" i="1"/>
  <c r="C27" i="1" s="1"/>
  <c r="AA45" i="1" l="1"/>
  <c r="AA47" i="1"/>
  <c r="AA48" i="1"/>
  <c r="AA50" i="1" s="1"/>
  <c r="C52" i="1" s="1"/>
  <c r="AA46" i="1"/>
  <c r="AA44" i="1"/>
  <c r="X43" i="1"/>
  <c r="X50" i="1" s="1"/>
  <c r="U48" i="1"/>
  <c r="U47" i="1"/>
  <c r="U43" i="1"/>
  <c r="U45" i="1"/>
  <c r="E27" i="1"/>
  <c r="C29" i="1"/>
  <c r="C30" i="1" s="1"/>
  <c r="C32" i="1" s="1"/>
  <c r="R43" i="1"/>
  <c r="T43" i="1" s="1"/>
  <c r="Z43" i="1" s="1"/>
  <c r="R47" i="1"/>
  <c r="T47" i="1" s="1"/>
  <c r="Z47" i="1" s="1"/>
  <c r="R44" i="1"/>
  <c r="T44" i="1" s="1"/>
  <c r="Z44" i="1" s="1"/>
  <c r="R48" i="1"/>
  <c r="R45" i="1"/>
  <c r="T45" i="1" s="1"/>
  <c r="Z45" i="1" s="1"/>
  <c r="R46" i="1"/>
  <c r="T46" i="1" s="1"/>
  <c r="Z46" i="1" s="1"/>
  <c r="E30" i="1"/>
  <c r="C38" i="1"/>
  <c r="J42" i="1" s="1"/>
  <c r="T48" i="1" l="1"/>
  <c r="Z48" i="1" s="1"/>
  <c r="Z50" i="1" s="1"/>
  <c r="C51" i="1" s="1"/>
  <c r="R50" i="1"/>
  <c r="C50" i="1" s="1"/>
  <c r="K42" i="1"/>
  <c r="O42" i="1"/>
  <c r="E42" i="1"/>
  <c r="F42" i="1"/>
  <c r="D42" i="1"/>
  <c r="I42" i="1"/>
  <c r="N42" i="1"/>
  <c r="L42" i="1"/>
  <c r="M42" i="1"/>
  <c r="H42" i="1"/>
  <c r="G42" i="1"/>
  <c r="C4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<sst xmlns="http://schemas.openxmlformats.org/spreadsheetml/2006/main" count="82" uniqueCount="74">
  <si>
    <t>Di</t>
  </si>
  <si>
    <t xml:space="preserve"> Impeller diameter [m]</t>
  </si>
  <si>
    <t>g</t>
  </si>
  <si>
    <t xml:space="preserve"> Gravity acceleration [m/s2]</t>
  </si>
  <si>
    <t>h</t>
  </si>
  <si>
    <t xml:space="preserve"> Waterjet exit nozzle elevation [m] </t>
  </si>
  <si>
    <t>hpi</t>
  </si>
  <si>
    <t xml:space="preserve"> Static head at pump inlet [m] </t>
  </si>
  <si>
    <t>hj</t>
  </si>
  <si>
    <t xml:space="preserve"> Height of jet centerline above sea level [m]</t>
  </si>
  <si>
    <t>nd</t>
  </si>
  <si>
    <t xml:space="preserve"> Pump design speed [rev/s] </t>
  </si>
  <si>
    <t>Nwj</t>
  </si>
  <si>
    <t xml:space="preserve"> Number of jets</t>
  </si>
  <si>
    <t>Qd</t>
  </si>
  <si>
    <t xml:space="preserve"> Pump design flow rate [m3/s]</t>
  </si>
  <si>
    <t>Tcav</t>
  </si>
  <si>
    <t xml:space="preserve"> Cavitation thrust limit [N]</t>
  </si>
  <si>
    <t>ζ</t>
  </si>
  <si>
    <t xml:space="preserve"> Waterjet duct loss factor</t>
  </si>
  <si>
    <t>ρ</t>
  </si>
  <si>
    <t xml:space="preserve"> Sea water density [kg/m3] </t>
  </si>
  <si>
    <t>σwj</t>
  </si>
  <si>
    <t xml:space="preserve"> Waterjet cavitation number </t>
  </si>
  <si>
    <t xml:space="preserve">τCwj </t>
  </si>
  <si>
    <t xml:space="preserve"> Waterjet cavitation thrust coefficient</t>
  </si>
  <si>
    <t>Dopt</t>
  </si>
  <si>
    <r>
      <t>KTwj/Jwj ^2 = Twj/(</t>
    </r>
    <r>
      <rPr>
        <sz val="11"/>
        <color theme="1"/>
        <rFont val="Calibri"/>
        <family val="2"/>
      </rPr>
      <t>ρ*Di^2*V^2)</t>
    </r>
  </si>
  <si>
    <t>Twj = Rt/((1 − t) * Nwj)</t>
  </si>
  <si>
    <t>t</t>
  </si>
  <si>
    <t xml:space="preserve"> Thrust deduction factor</t>
  </si>
  <si>
    <t>Rt</t>
  </si>
  <si>
    <t>Vd</t>
  </si>
  <si>
    <t>Resistance @ Design Speed [N]</t>
  </si>
  <si>
    <t>N</t>
  </si>
  <si>
    <t>lb</t>
  </si>
  <si>
    <t>mph</t>
  </si>
  <si>
    <t>Design Speed [kph]</t>
  </si>
  <si>
    <t>Di^2 =</t>
  </si>
  <si>
    <t>m</t>
  </si>
  <si>
    <t>m2</t>
  </si>
  <si>
    <t>Di =</t>
  </si>
  <si>
    <t>in</t>
  </si>
  <si>
    <t>or</t>
  </si>
  <si>
    <r>
      <t>KTwj/Jwj ^2 * Jwj^2 = Twj/(</t>
    </r>
    <r>
      <rPr>
        <sz val="11"/>
        <color theme="1"/>
        <rFont val="Calibri"/>
        <family val="2"/>
      </rPr>
      <t xml:space="preserve">ρ*Di^2*V^2) * </t>
    </r>
    <r>
      <rPr>
        <sz val="11"/>
        <color theme="1"/>
        <rFont val="Calibri"/>
        <family val="2"/>
        <scheme val="minor"/>
      </rPr>
      <t>Jwj^2</t>
    </r>
  </si>
  <si>
    <t>Jwj</t>
  </si>
  <si>
    <t>Jwj^2</t>
  </si>
  <si>
    <t>mps</t>
  </si>
  <si>
    <t>fps</t>
  </si>
  <si>
    <t>*Jwj^2</t>
  </si>
  <si>
    <t>KTwj/Jwj ^2 * Jwj^2</t>
  </si>
  <si>
    <t>a = 1.0</t>
  </si>
  <si>
    <t>a = 1.2</t>
  </si>
  <si>
    <t>a = 1.4</t>
  </si>
  <si>
    <t>a = 1.6</t>
  </si>
  <si>
    <t>1,6</t>
  </si>
  <si>
    <t>a = 1.8</t>
  </si>
  <si>
    <t>a = 0.8 - KTwj/Jwj^2 * Jwj^2</t>
  </si>
  <si>
    <t>Jwi des</t>
  </si>
  <si>
    <t>n des</t>
  </si>
  <si>
    <t>T des</t>
  </si>
  <si>
    <t>Kt des</t>
  </si>
  <si>
    <t>pa</t>
  </si>
  <si>
    <t xml:space="preserve"> Atmospheric pressure [Pa] </t>
  </si>
  <si>
    <t>pv</t>
  </si>
  <si>
    <t xml:space="preserve"> Vapor pressure [Pa] </t>
  </si>
  <si>
    <t>@15 C</t>
  </si>
  <si>
    <t>τ(Cwj)</t>
  </si>
  <si>
    <t>Ai =</t>
  </si>
  <si>
    <t>Pb = α * ρ * Di^5 * n^3</t>
  </si>
  <si>
    <t>Twj corrected = Twj(Di + 0.64) 0.4 (0.0073V + 0.8625)</t>
  </si>
  <si>
    <t>Tcorr</t>
  </si>
  <si>
    <t>Tcav corr</t>
  </si>
  <si>
    <t>Tcav corrected = Tcav(1.36 − Di)^0.6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</si>
</sst>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Fill="1"/>
    <xf numFmtId="164" fontId="0" fillId="0" borderId="0" xfId="0" applyNumberFormat="1" applyFill="1"/>
    <xf numFmtId="0" fontId="1" fillId="0" borderId="0" xfId="0" applyFont="1"/>
    <xf numFmtId="0" fontId="3" fillId="0" borderId="0" xfId="0" applyFont="1"/>
    <xf numFmtId="0" fontId="0" fillId="3" borderId="0" xfId="0" applyFill="1"/>
    <xf numFmtId="0" fontId="4" fillId="0" borderId="0" xfId="0" applyFont="1"/>
    <xf numFmtId="0" fontId="0" fillId="0" borderId="0" xfId="0" quotePrefix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Kt/J2*J2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Sheet1!$C$40:$O$40</c:f>
              <c:numCache>
                <c:formatCode>General</c:formatCode>
                <c:ptCount val="1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</c:numCache>
            </c:numRef>
          </c:xVal>
          <c:yVal>
            <c:numRef>
              <c:f>Sheet1!$C$42:$O$42</c:f>
              <c:numCache>
                <c:formatCode>General</c:formatCode>
                <c:ptCount val="13"/>
                <c:pt idx="0">
                  <c:v>0</c:v>
                </c:pt>
                <c:pt idx="1">
                  <c:v>3.2780215240252902E-2</c:v>
                </c:pt>
                <c:pt idx="2">
                  <c:v>0.13112086096101161</c:v>
                </c:pt>
                <c:pt idx="3">
                  <c:v>0.29502193716227609</c:v>
                </c:pt>
                <c:pt idx="4">
                  <c:v>0.52448344384404644</c:v>
                </c:pt>
                <c:pt idx="5">
                  <c:v>0.81950538100632253</c:v>
                </c:pt>
                <c:pt idx="6">
                  <c:v>1.1800877486491044</c:v>
                </c:pt>
                <c:pt idx="7">
                  <c:v>1.6062305467723923</c:v>
                </c:pt>
                <c:pt idx="8">
                  <c:v>2.0979337753761857</c:v>
                </c:pt>
                <c:pt idx="9">
                  <c:v>2.6551974344604852</c:v>
                </c:pt>
                <c:pt idx="10">
                  <c:v>3.2780215240252901</c:v>
                </c:pt>
                <c:pt idx="11">
                  <c:v>3.966406044070601</c:v>
                </c:pt>
                <c:pt idx="12">
                  <c:v>4.7203509945964175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2B-4656-A016-7161279CEF22}"/>
            </c:ext>
          </c:extLst>
        </c:ser>
        <c:ser>
          <c:idx val="0"/>
          <c:order val="1"/>
          <c:tx>
            <c:v>a = 0.8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Sheet2!$A$2:$A$14</c:f>
              <c:numCache>
                <c:formatCode>0.00</c:formatCode>
                <c:ptCount val="13"/>
                <c:pt idx="0">
                  <c:v>1.158519826127551E-6</c:v>
                </c:pt>
                <c:pt idx="1">
                  <c:v>0.25692796474950974</c:v>
                </c:pt>
                <c:pt idx="2">
                  <c:v>0.49874145015091775</c:v>
                </c:pt>
                <c:pt idx="3">
                  <c:v>0.76322496420308417</c:v>
                </c:pt>
                <c:pt idx="4">
                  <c:v>0.98992511789604931</c:v>
                </c:pt>
                <c:pt idx="5">
                  <c:v>1.2619653181664903</c:v>
                </c:pt>
                <c:pt idx="6">
                  <c:v>1.4962221584125657</c:v>
                </c:pt>
                <c:pt idx="7">
                  <c:v>1.7153656558812831</c:v>
                </c:pt>
                <c:pt idx="8">
                  <c:v>2.0025192112918395</c:v>
                </c:pt>
                <c:pt idx="9">
                  <c:v>2.267002755949135</c:v>
                </c:pt>
                <c:pt idx="10">
                  <c:v>2.5012596088569858</c:v>
                </c:pt>
                <c:pt idx="11">
                  <c:v>2.7581864850575006</c:v>
                </c:pt>
                <c:pt idx="12">
                  <c:v>3.0000000000406901</c:v>
                </c:pt>
              </c:numCache>
            </c:numRef>
          </c:xVal>
          <c:yVal>
            <c:numRef>
              <c:f>Sheet2!$B$2:$B$14</c:f>
              <c:numCache>
                <c:formatCode>0.00</c:formatCode>
                <c:ptCount val="13"/>
                <c:pt idx="0">
                  <c:v>0.77490367014606787</c:v>
                </c:pt>
                <c:pt idx="1">
                  <c:v>0.66771889945923912</c:v>
                </c:pt>
                <c:pt idx="2">
                  <c:v>0.58628667555803704</c:v>
                </c:pt>
                <c:pt idx="3">
                  <c:v>0.51013457355459013</c:v>
                </c:pt>
                <c:pt idx="4">
                  <c:v>0.44412335998695424</c:v>
                </c:pt>
                <c:pt idx="5">
                  <c:v>0.37834088970874136</c:v>
                </c:pt>
                <c:pt idx="6">
                  <c:v>0.3226993205963411</c:v>
                </c:pt>
                <c:pt idx="7">
                  <c:v>0.27214726463669348</c:v>
                </c:pt>
                <c:pt idx="8">
                  <c:v>0.21160679232340712</c:v>
                </c:pt>
                <c:pt idx="9">
                  <c:v>0.16128347733565887</c:v>
                </c:pt>
                <c:pt idx="10">
                  <c:v>0.11597342911625892</c:v>
                </c:pt>
                <c:pt idx="11">
                  <c:v>7.0777752327884219E-2</c:v>
                </c:pt>
                <c:pt idx="12">
                  <c:v>3.0671592469468167E-2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D2B-4656-A016-7161279CEF22}"/>
            </c:ext>
          </c:extLst>
        </c:ser>
        <c:ser>
          <c:idx val="2"/>
          <c:order val="2"/>
          <c:tx>
            <c:v>a = 1.0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Sheet2!$C$2:$C$14</c:f>
              <c:numCache>
                <c:formatCode>0.00</c:formatCode>
                <c:ptCount val="13"/>
                <c:pt idx="0">
                  <c:v>1.2864103451253641E-6</c:v>
                </c:pt>
                <c:pt idx="1">
                  <c:v>0.25692809712328807</c:v>
                </c:pt>
                <c:pt idx="2">
                  <c:v>0.50629824859602934</c:v>
                </c:pt>
                <c:pt idx="3">
                  <c:v>0.73299838777831383</c:v>
                </c:pt>
                <c:pt idx="4">
                  <c:v>1.0050385718443124</c:v>
                </c:pt>
                <c:pt idx="5">
                  <c:v>1.2619654183896225</c:v>
                </c:pt>
                <c:pt idx="6">
                  <c:v>1.5037789219744171</c:v>
                </c:pt>
                <c:pt idx="7">
                  <c:v>1.7758191225061803</c:v>
                </c:pt>
                <c:pt idx="8">
                  <c:v>2.0025192886614067</c:v>
                </c:pt>
                <c:pt idx="9">
                  <c:v>2.2518894772255891</c:v>
                </c:pt>
                <c:pt idx="10">
                  <c:v>2.5012596650463301</c:v>
                </c:pt>
                <c:pt idx="11">
                  <c:v>2.7884132165281121</c:v>
                </c:pt>
                <c:pt idx="12">
                  <c:v>3.0000000001356342</c:v>
                </c:pt>
              </c:numCache>
            </c:numRef>
          </c:xVal>
          <c:yVal>
            <c:numRef>
              <c:f>Sheet2!$D$2:$D$14</c:f>
              <c:numCache>
                <c:formatCode>0.00</c:formatCode>
                <c:ptCount val="13"/>
                <c:pt idx="0">
                  <c:v>0.89888215866014587</c:v>
                </c:pt>
                <c:pt idx="1">
                  <c:v>0.7916973791844365</c:v>
                </c:pt>
                <c:pt idx="2">
                  <c:v>0.69997173234531163</c:v>
                </c:pt>
                <c:pt idx="3">
                  <c:v>0.61846321943413529</c:v>
                </c:pt>
                <c:pt idx="4">
                  <c:v>0.53718344827836051</c:v>
                </c:pt>
                <c:pt idx="5">
                  <c:v>0.46615895216065301</c:v>
                </c:pt>
                <c:pt idx="6">
                  <c:v>0.40022396769137525</c:v>
                </c:pt>
                <c:pt idx="7">
                  <c:v>0.33444147835120719</c:v>
                </c:pt>
                <c:pt idx="8">
                  <c:v>0.27876177302573307</c:v>
                </c:pt>
                <c:pt idx="9">
                  <c:v>0.22319643934906389</c:v>
                </c:pt>
                <c:pt idx="10">
                  <c:v>0.16763110379090887</c:v>
                </c:pt>
                <c:pt idx="11">
                  <c:v>0.11225638846157047</c:v>
                </c:pt>
                <c:pt idx="12">
                  <c:v>6.6831963271986372E-2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D2B-4656-A016-7161279CEF22}"/>
            </c:ext>
          </c:extLst>
        </c:ser>
        <c:ser>
          <c:idx val="3"/>
          <c:order val="3"/>
          <c:tx>
            <c:v>a = 1.2</c:v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Sheet2!$E$2:$E$14</c:f>
              <c:numCache>
                <c:formatCode>0.00</c:formatCode>
                <c:ptCount val="13"/>
                <c:pt idx="0">
                  <c:v>-7.5552679788077363E-3</c:v>
                </c:pt>
                <c:pt idx="1">
                  <c:v>0.24181486722475554</c:v>
                </c:pt>
                <c:pt idx="2">
                  <c:v>0.50629835892692543</c:v>
                </c:pt>
                <c:pt idx="3">
                  <c:v>0.76322517640221899</c:v>
                </c:pt>
                <c:pt idx="4">
                  <c:v>1.0050386699302214</c:v>
                </c:pt>
                <c:pt idx="5">
                  <c:v>1.2619655113305601</c:v>
                </c:pt>
                <c:pt idx="6">
                  <c:v>1.5113356739691284</c:v>
                </c:pt>
                <c:pt idx="7">
                  <c:v>1.7002524740478375</c:v>
                </c:pt>
                <c:pt idx="8">
                  <c:v>2.0100760276180329</c:v>
                </c:pt>
                <c:pt idx="9">
                  <c:v>2.2745595549241933</c:v>
                </c:pt>
                <c:pt idx="10">
                  <c:v>2.5088163849121092</c:v>
                </c:pt>
                <c:pt idx="11">
                  <c:v>2.7732998968196321</c:v>
                </c:pt>
                <c:pt idx="12">
                  <c:v>3.0000000002577054</c:v>
                </c:pt>
              </c:numCache>
            </c:numRef>
          </c:xVal>
          <c:yVal>
            <c:numRef>
              <c:f>Sheet2!$F$2:$F$14</c:f>
              <c:numCache>
                <c:formatCode>0.00</c:formatCode>
                <c:ptCount val="13"/>
                <c:pt idx="0">
                  <c:v>1.0279883004932904</c:v>
                </c:pt>
                <c:pt idx="1">
                  <c:v>0.91559960035715171</c:v>
                </c:pt>
                <c:pt idx="2">
                  <c:v>0.81361865699560376</c:v>
                </c:pt>
                <c:pt idx="3">
                  <c:v>0.71159956263159363</c:v>
                </c:pt>
                <c:pt idx="4">
                  <c:v>0.63533304928959178</c:v>
                </c:pt>
                <c:pt idx="5">
                  <c:v>0.55914277926857403</c:v>
                </c:pt>
                <c:pt idx="6">
                  <c:v>0.47774861195449175</c:v>
                </c:pt>
                <c:pt idx="7">
                  <c:v>0.42704405154359087</c:v>
                </c:pt>
                <c:pt idx="8">
                  <c:v>0.34595487662101271</c:v>
                </c:pt>
                <c:pt idx="9">
                  <c:v>0.28530002245232883</c:v>
                </c:pt>
                <c:pt idx="10">
                  <c:v>0.2244926693338016</c:v>
                </c:pt>
                <c:pt idx="11">
                  <c:v>0.1638378125841197</c:v>
                </c:pt>
                <c:pt idx="12">
                  <c:v>0.11332386808742057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D2B-4656-A016-7161279CEF22}"/>
            </c:ext>
          </c:extLst>
        </c:ser>
        <c:ser>
          <c:idx val="4"/>
          <c:order val="4"/>
          <c:tx>
            <c:v>a = 1.4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Sheet2!$G$2:$G$14</c:f>
              <c:numCache>
                <c:formatCode>0.00</c:formatCode>
                <c:ptCount val="13"/>
                <c:pt idx="0">
                  <c:v>7.5581490252972618E-3</c:v>
                </c:pt>
                <c:pt idx="1">
                  <c:v>0.27204163332207171</c:v>
                </c:pt>
                <c:pt idx="2">
                  <c:v>0.50629843559985321</c:v>
                </c:pt>
                <c:pt idx="3">
                  <c:v>0.77833859752238443</c:v>
                </c:pt>
                <c:pt idx="4">
                  <c:v>1.0050387389405389</c:v>
                </c:pt>
                <c:pt idx="5">
                  <c:v>1.2619655751522543</c:v>
                </c:pt>
                <c:pt idx="6">
                  <c:v>1.5037790724164581</c:v>
                </c:pt>
                <c:pt idx="7">
                  <c:v>1.7682625776745513</c:v>
                </c:pt>
                <c:pt idx="8">
                  <c:v>1.9949627349521104</c:v>
                </c:pt>
                <c:pt idx="9">
                  <c:v>2.2518895797535632</c:v>
                </c:pt>
                <c:pt idx="10">
                  <c:v>2.5012597433083159</c:v>
                </c:pt>
                <c:pt idx="11">
                  <c:v>2.7732999116421064</c:v>
                </c:pt>
                <c:pt idx="12">
                  <c:v>3.0000000003797762</c:v>
                </c:pt>
              </c:numCache>
            </c:numRef>
          </c:xVal>
          <c:yVal>
            <c:numRef>
              <c:f>Sheet2!$H$2:$H$14</c:f>
              <c:numCache>
                <c:formatCode>0.00</c:formatCode>
                <c:ptCount val="13"/>
                <c:pt idx="0">
                  <c:v>1.110716865778254</c:v>
                </c:pt>
                <c:pt idx="1">
                  <c:v>0.99840442538061636</c:v>
                </c:pt>
                <c:pt idx="2">
                  <c:v>0.90143673047601736</c:v>
                </c:pt>
                <c:pt idx="3">
                  <c:v>0.79432811047809815</c:v>
                </c:pt>
                <c:pt idx="4">
                  <c:v>0.71281957279022701</c:v>
                </c:pt>
                <c:pt idx="5">
                  <c:v>0.63146353075607953</c:v>
                </c:pt>
                <c:pt idx="6">
                  <c:v>0.56036277169020465</c:v>
                </c:pt>
                <c:pt idx="7">
                  <c:v>0.4738790814410308</c:v>
                </c:pt>
                <c:pt idx="8">
                  <c:v>0.41303360513769549</c:v>
                </c:pt>
                <c:pt idx="9">
                  <c:v>0.34717485782781465</c:v>
                </c:pt>
                <c:pt idx="10">
                  <c:v>0.276112217950992</c:v>
                </c:pt>
                <c:pt idx="11">
                  <c:v>0.21549548459604054</c:v>
                </c:pt>
                <c:pt idx="12">
                  <c:v>0.15981577233492653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D2B-4656-A016-7161279CEF22}"/>
            </c:ext>
          </c:extLst>
        </c:ser>
        <c:ser>
          <c:idx val="5"/>
          <c:order val="5"/>
          <c:tx>
            <c:v>a = 1.6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xVal>
            <c:numRef>
              <c:f>Sheet2!$I$2:$I$14</c:f>
              <c:numCache>
                <c:formatCode>0.00</c:formatCode>
                <c:ptCount val="13"/>
                <c:pt idx="0">
                  <c:v>7.5582440664548082E-3</c:v>
                </c:pt>
                <c:pt idx="1">
                  <c:v>0.26448504068684398</c:v>
                </c:pt>
                <c:pt idx="2">
                  <c:v>0.51385517889571386</c:v>
                </c:pt>
                <c:pt idx="3">
                  <c:v>0.76322532089001793</c:v>
                </c:pt>
                <c:pt idx="4">
                  <c:v>1.0050388051318129</c:v>
                </c:pt>
                <c:pt idx="5">
                  <c:v>1.2619656323076258</c:v>
                </c:pt>
                <c:pt idx="6">
                  <c:v>1.5037791201564179</c:v>
                </c:pt>
                <c:pt idx="7">
                  <c:v>1.7607059612666458</c:v>
                </c:pt>
                <c:pt idx="8">
                  <c:v>2.0100761269629643</c:v>
                </c:pt>
                <c:pt idx="9">
                  <c:v>2.2594462889756644</c:v>
                </c:pt>
                <c:pt idx="10">
                  <c:v>2.5012597714324518</c:v>
                </c:pt>
                <c:pt idx="11">
                  <c:v>2.7732999203652038</c:v>
                </c:pt>
                <c:pt idx="12">
                  <c:v>3.0075566692056381</c:v>
                </c:pt>
              </c:numCache>
            </c:numRef>
          </c:xVal>
          <c:yVal>
            <c:numRef>
              <c:f>Sheet2!$J$2:$J$14</c:f>
              <c:numCache>
                <c:formatCode>0.00</c:formatCode>
                <c:ptCount val="13"/>
                <c:pt idx="0">
                  <c:v>1.2346953518732882</c:v>
                </c:pt>
                <c:pt idx="1">
                  <c:v>1.1016816857149432</c:v>
                </c:pt>
                <c:pt idx="2">
                  <c:v>0.98929292373078037</c:v>
                </c:pt>
                <c:pt idx="3">
                  <c:v>0.88206992053485622</c:v>
                </c:pt>
                <c:pt idx="4">
                  <c:v>0.79547186051189123</c:v>
                </c:pt>
                <c:pt idx="5">
                  <c:v>0.70378427944996713</c:v>
                </c:pt>
                <c:pt idx="6">
                  <c:v>0.62235198294607319</c:v>
                </c:pt>
                <c:pt idx="7">
                  <c:v>0.55132746904384933</c:v>
                </c:pt>
                <c:pt idx="8">
                  <c:v>0.48026482957135286</c:v>
                </c:pt>
                <c:pt idx="9">
                  <c:v>0.40920218935561825</c:v>
                </c:pt>
                <c:pt idx="10">
                  <c:v>0.33810142439644558</c:v>
                </c:pt>
                <c:pt idx="11">
                  <c:v>0.26715315584899013</c:v>
                </c:pt>
                <c:pt idx="12">
                  <c:v>0.21151156719883052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D2B-4656-A016-7161279CEF22}"/>
            </c:ext>
          </c:extLst>
        </c:ser>
        <c:ser>
          <c:idx val="6"/>
          <c:order val="6"/>
          <c:tx>
            <c:v>a = 1.8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Sheet2!$K$2:$K$14</c:f>
              <c:numCache>
                <c:formatCode>0.00</c:formatCode>
                <c:ptCount val="13"/>
                <c:pt idx="0">
                  <c:v>7.5583324830733054E-3</c:v>
                </c:pt>
                <c:pt idx="1">
                  <c:v>0.27204178711680682</c:v>
                </c:pt>
                <c:pt idx="2">
                  <c:v>0.50629857256145594</c:v>
                </c:pt>
                <c:pt idx="3">
                  <c:v>0.76322538107281723</c:v>
                </c:pt>
                <c:pt idx="4">
                  <c:v>1.0201522038021671</c:v>
                </c:pt>
                <c:pt idx="5">
                  <c:v>1.2468523439928896</c:v>
                </c:pt>
                <c:pt idx="6">
                  <c:v>1.4962225030653427</c:v>
                </c:pt>
                <c:pt idx="7">
                  <c:v>1.7607060005920989</c:v>
                </c:pt>
                <c:pt idx="8">
                  <c:v>2.0025194893463913</c:v>
                </c:pt>
                <c:pt idx="9">
                  <c:v>2.2670029857290839</c:v>
                </c:pt>
                <c:pt idx="10">
                  <c:v>2.5163731318952336</c:v>
                </c:pt>
                <c:pt idx="11">
                  <c:v>2.7732999258201256</c:v>
                </c:pt>
                <c:pt idx="12">
                  <c:v>3.000000000651045</c:v>
                </c:pt>
              </c:numCache>
            </c:numRef>
          </c:xVal>
          <c:yVal>
            <c:numRef>
              <c:f>Sheet2!$L$2:$L$14</c:f>
              <c:numCache>
                <c:formatCode>0.00</c:formatCode>
                <c:ptCount val="13"/>
                <c:pt idx="0">
                  <c:v>1.3638396082222817</c:v>
                </c:pt>
                <c:pt idx="1">
                  <c:v>1.2050351864970761</c:v>
                </c:pt>
                <c:pt idx="2">
                  <c:v>1.0822386265661357</c:v>
                </c:pt>
                <c:pt idx="3">
                  <c:v>0.9647222073437417</c:v>
                </c:pt>
                <c:pt idx="4">
                  <c:v>0.86786885750721343</c:v>
                </c:pt>
                <c:pt idx="5">
                  <c:v>0.78636031120335614</c:v>
                </c:pt>
                <c:pt idx="6">
                  <c:v>0.70496613731828606</c:v>
                </c:pt>
                <c:pt idx="7">
                  <c:v>0.61331667684741775</c:v>
                </c:pt>
                <c:pt idx="8">
                  <c:v>0.54221591205828046</c:v>
                </c:pt>
                <c:pt idx="9">
                  <c:v>0.46089798519317426</c:v>
                </c:pt>
                <c:pt idx="10">
                  <c:v>0.38983534383638735</c:v>
                </c:pt>
                <c:pt idx="11">
                  <c:v>0.31881082633967173</c:v>
                </c:pt>
                <c:pt idx="12">
                  <c:v>0.26313111306408582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D2B-4656-A016-7161279CE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9433120"/>
        <c:axId val="669431872"/>
      </c:scatterChart>
      <c:valAx>
        <c:axId val="669433120"/>
        <c:scaling>
          <c:orientation val="minMax"/>
          <c:max val="3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431872"/>
        <c:crosses val="autoZero"/>
        <c:crossBetween val="midCat"/>
      </c:valAx>
      <c:valAx>
        <c:axId val="669431872"/>
        <c:scaling>
          <c:orientation val="minMax"/>
          <c:max val="1.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433120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81455227071541003"/>
          <c:y val="0.10393634542395233"/>
          <c:w val="0.13967759978366434"/>
          <c:h val="0.32416222040072401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9789A0-C231-4A52-B3A7-3E217B8E77F6}">
  <sheetPr/>
  <sheetViews>
    <sheetView zoomScale="5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3220" cy="62854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5E5B26-18A4-4354-8233-732A79F651E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CC64-6D81-4365-BB78-6B961D74F383}">
  <dimension ref="A1:AA52"/>
  <sheetViews>
    <sheetView tabSelected="1" topLeftCell="A35" workbookViewId="0">
      <selection activeCell="C44" sqref="C44"/>
    </sheetView>
  </sheetViews>
  <sheetFormatPr defaultRowHeight="14.5" x14ac:dyDescent="0.35"/>
  <cols>
    <col min="1" max="1" width="5.08984375" bestFit="1" customWidth="1"/>
    <col min="2" max="2" width="45.7265625" bestFit="1" customWidth="1"/>
  </cols>
  <sheetData>
    <row r="1" spans="1:6" x14ac:dyDescent="0.35">
      <c r="A1" t="s">
        <v>0</v>
      </c>
      <c r="B1" t="s">
        <v>1</v>
      </c>
    </row>
    <row r="2" spans="1:6" x14ac:dyDescent="0.35">
      <c r="A2" t="s">
        <v>2</v>
      </c>
      <c r="B2" t="s">
        <v>3</v>
      </c>
      <c r="C2">
        <v>9.8059999999999992</v>
      </c>
    </row>
    <row r="3" spans="1:6" x14ac:dyDescent="0.35">
      <c r="A3" t="s">
        <v>4</v>
      </c>
      <c r="B3" t="s">
        <v>5</v>
      </c>
      <c r="C3">
        <v>0</v>
      </c>
    </row>
    <row r="4" spans="1:6" x14ac:dyDescent="0.35">
      <c r="A4" t="s">
        <v>6</v>
      </c>
      <c r="B4" t="s">
        <v>7</v>
      </c>
      <c r="C4">
        <v>0.5</v>
      </c>
    </row>
    <row r="5" spans="1:6" x14ac:dyDescent="0.35">
      <c r="A5" t="s">
        <v>8</v>
      </c>
      <c r="B5" t="s">
        <v>9</v>
      </c>
      <c r="C5">
        <v>0</v>
      </c>
    </row>
    <row r="6" spans="1:6" x14ac:dyDescent="0.35">
      <c r="A6" t="s">
        <v>10</v>
      </c>
      <c r="B6" t="s">
        <v>11</v>
      </c>
      <c r="C6">
        <v>1140</v>
      </c>
    </row>
    <row r="7" spans="1:6" x14ac:dyDescent="0.35">
      <c r="A7" t="s">
        <v>12</v>
      </c>
      <c r="B7" t="s">
        <v>13</v>
      </c>
      <c r="C7">
        <v>2</v>
      </c>
    </row>
    <row r="8" spans="1:6" x14ac:dyDescent="0.35">
      <c r="A8" t="s">
        <v>14</v>
      </c>
      <c r="B8" t="s">
        <v>15</v>
      </c>
    </row>
    <row r="9" spans="1:6" x14ac:dyDescent="0.35">
      <c r="A9" t="s">
        <v>16</v>
      </c>
      <c r="B9" t="s">
        <v>17</v>
      </c>
    </row>
    <row r="10" spans="1:6" x14ac:dyDescent="0.35">
      <c r="A10" t="s">
        <v>18</v>
      </c>
      <c r="B10" t="s">
        <v>19</v>
      </c>
    </row>
    <row r="11" spans="1:6" x14ac:dyDescent="0.35">
      <c r="A11" t="s">
        <v>20</v>
      </c>
      <c r="B11" t="s">
        <v>21</v>
      </c>
      <c r="C11">
        <v>1026</v>
      </c>
    </row>
    <row r="12" spans="1:6" x14ac:dyDescent="0.35">
      <c r="A12" t="s">
        <v>22</v>
      </c>
      <c r="B12" t="s">
        <v>23</v>
      </c>
    </row>
    <row r="13" spans="1:6" x14ac:dyDescent="0.35">
      <c r="A13" t="s">
        <v>24</v>
      </c>
      <c r="B13" t="s">
        <v>25</v>
      </c>
    </row>
    <row r="14" spans="1:6" x14ac:dyDescent="0.35">
      <c r="A14" t="s">
        <v>29</v>
      </c>
      <c r="B14" t="s">
        <v>30</v>
      </c>
      <c r="C14" s="1">
        <v>0.1</v>
      </c>
    </row>
    <row r="15" spans="1:6" x14ac:dyDescent="0.35">
      <c r="A15" t="s">
        <v>31</v>
      </c>
      <c r="B15" t="s">
        <v>33</v>
      </c>
      <c r="C15" s="2">
        <f>2300*2*4.44822*0.9</f>
        <v>18415.630800000003</v>
      </c>
    </row>
    <row r="16" spans="1:6" x14ac:dyDescent="0.35">
      <c r="A16" t="s">
        <v>32</v>
      </c>
      <c r="B16" t="s">
        <v>37</v>
      </c>
      <c r="C16" s="3">
        <f>E16*5280/3.2808/1000</f>
        <v>38.624725676664227</v>
      </c>
      <c r="E16">
        <v>24</v>
      </c>
      <c r="F16" t="s">
        <v>36</v>
      </c>
    </row>
    <row r="17" spans="1:16" x14ac:dyDescent="0.35">
      <c r="C17" s="3">
        <f>C16*1000/3600</f>
        <v>10.729090465740063</v>
      </c>
      <c r="D17" t="s">
        <v>47</v>
      </c>
      <c r="E17">
        <f>E16*5280/3600</f>
        <v>35.200000000000003</v>
      </c>
      <c r="F17" t="s">
        <v>48</v>
      </c>
    </row>
    <row r="18" spans="1:16" x14ac:dyDescent="0.35">
      <c r="A18" t="s">
        <v>62</v>
      </c>
      <c r="B18" t="s">
        <v>63</v>
      </c>
      <c r="C18" s="2">
        <f>101.325*1000</f>
        <v>101325</v>
      </c>
    </row>
    <row r="19" spans="1:16" x14ac:dyDescent="0.35">
      <c r="A19" t="s">
        <v>64</v>
      </c>
      <c r="B19" t="s">
        <v>65</v>
      </c>
      <c r="C19" s="1">
        <f>1.7056*1000</f>
        <v>1705.6</v>
      </c>
      <c r="D19" s="8" t="s">
        <v>66</v>
      </c>
    </row>
    <row r="20" spans="1:16" x14ac:dyDescent="0.35">
      <c r="C20" s="2"/>
    </row>
    <row r="21" spans="1:16" x14ac:dyDescent="0.35">
      <c r="C21" s="2"/>
    </row>
    <row r="22" spans="1:16" x14ac:dyDescent="0.35">
      <c r="C22" s="2"/>
    </row>
    <row r="23" spans="1:16" x14ac:dyDescent="0.35">
      <c r="C23" s="2"/>
    </row>
    <row r="24" spans="1:16" x14ac:dyDescent="0.35">
      <c r="B24" t="s">
        <v>26</v>
      </c>
      <c r="C24" s="2"/>
    </row>
    <row r="25" spans="1:16" x14ac:dyDescent="0.35">
      <c r="B25" t="s">
        <v>27</v>
      </c>
      <c r="C25">
        <v>0.18</v>
      </c>
    </row>
    <row r="27" spans="1:16" x14ac:dyDescent="0.35">
      <c r="B27" t="s">
        <v>28</v>
      </c>
      <c r="C27">
        <f>C15/((1-C14)*C7)</f>
        <v>10230.906000000001</v>
      </c>
      <c r="D27" t="s">
        <v>34</v>
      </c>
      <c r="E27">
        <f>C27/4.44822</f>
        <v>2300</v>
      </c>
      <c r="F27" t="s">
        <v>35</v>
      </c>
    </row>
    <row r="29" spans="1:16" x14ac:dyDescent="0.35">
      <c r="B29" t="s">
        <v>38</v>
      </c>
      <c r="C29">
        <f>C27/(C25*C11*C16^2)*3600^2/1000^2</f>
        <v>0.48124741992880371</v>
      </c>
      <c r="D29" t="s">
        <v>40</v>
      </c>
      <c r="G29" s="4"/>
      <c r="I29" s="4"/>
      <c r="J29" s="4"/>
      <c r="K29" s="4"/>
      <c r="L29" s="4"/>
      <c r="O29" s="4"/>
      <c r="P29" s="5"/>
    </row>
    <row r="30" spans="1:16" x14ac:dyDescent="0.35">
      <c r="B30" t="s">
        <v>41</v>
      </c>
      <c r="C30">
        <f>SQRT(C29)</f>
        <v>0.69371998668685031</v>
      </c>
      <c r="D30" t="s">
        <v>40</v>
      </c>
      <c r="E30">
        <f>C30*39.37</f>
        <v>27.311755875861294</v>
      </c>
      <c r="F30" t="s">
        <v>42</v>
      </c>
      <c r="H30" s="4"/>
      <c r="I30" s="4"/>
      <c r="J30" s="4"/>
      <c r="M30" s="4"/>
      <c r="N30" s="4"/>
      <c r="O30" s="4"/>
      <c r="P30" s="4"/>
    </row>
    <row r="32" spans="1:16" x14ac:dyDescent="0.35">
      <c r="B32" t="s">
        <v>41</v>
      </c>
      <c r="C32">
        <f>C30</f>
        <v>0.69371998668685031</v>
      </c>
      <c r="D32" t="s">
        <v>39</v>
      </c>
      <c r="E32" t="s">
        <v>43</v>
      </c>
      <c r="F32" s="6">
        <f>16/39.37</f>
        <v>0.40640081280162565</v>
      </c>
      <c r="G32" t="s">
        <v>39</v>
      </c>
      <c r="H32" s="7">
        <f>IF(F32="",C32,F32)</f>
        <v>0.40640081280162565</v>
      </c>
      <c r="I32" s="7" t="s">
        <v>39</v>
      </c>
    </row>
    <row r="34" spans="2:27" x14ac:dyDescent="0.35">
      <c r="B34" t="s">
        <v>68</v>
      </c>
      <c r="C34">
        <f>PI()*H32^2/4</f>
        <v>0.12971763351897467</v>
      </c>
      <c r="D34" t="s">
        <v>40</v>
      </c>
    </row>
    <row r="38" spans="2:27" x14ac:dyDescent="0.35">
      <c r="B38" t="s">
        <v>44</v>
      </c>
      <c r="C38">
        <f>C27/(C11*H32^2*C17^2)</f>
        <v>0.52448344384404644</v>
      </c>
      <c r="D38" t="s">
        <v>49</v>
      </c>
      <c r="I38" s="4"/>
      <c r="J38" s="4"/>
      <c r="M38" s="4"/>
      <c r="N38" s="4"/>
    </row>
    <row r="39" spans="2:27" x14ac:dyDescent="0.35">
      <c r="B39" s="8"/>
      <c r="J39" s="4"/>
      <c r="K39" s="4"/>
      <c r="L39" s="4"/>
      <c r="M39" s="4"/>
      <c r="N39" s="4"/>
    </row>
    <row r="40" spans="2:27" x14ac:dyDescent="0.35">
      <c r="B40" s="8" t="s">
        <v>45</v>
      </c>
      <c r="C40">
        <v>0</v>
      </c>
      <c r="D40">
        <v>0.25</v>
      </c>
      <c r="E40">
        <v>0.5</v>
      </c>
      <c r="F40">
        <v>0.75</v>
      </c>
      <c r="G40">
        <v>1</v>
      </c>
      <c r="H40">
        <v>1.25</v>
      </c>
      <c r="I40">
        <v>1.5</v>
      </c>
      <c r="J40">
        <v>1.75</v>
      </c>
      <c r="K40">
        <v>2</v>
      </c>
      <c r="L40">
        <v>2.25</v>
      </c>
      <c r="M40">
        <v>2.5</v>
      </c>
      <c r="N40">
        <v>2.75</v>
      </c>
      <c r="O40">
        <v>3</v>
      </c>
      <c r="Q40" t="s">
        <v>58</v>
      </c>
      <c r="R40" t="s">
        <v>59</v>
      </c>
      <c r="S40" t="s">
        <v>61</v>
      </c>
      <c r="T40" t="s">
        <v>60</v>
      </c>
      <c r="U40" t="s">
        <v>22</v>
      </c>
      <c r="V40" s="11" t="s">
        <v>67</v>
      </c>
      <c r="W40" s="11" t="s">
        <v>16</v>
      </c>
      <c r="Z40" t="s">
        <v>71</v>
      </c>
      <c r="AA40" t="s">
        <v>72</v>
      </c>
    </row>
    <row r="41" spans="2:27" x14ac:dyDescent="0.35">
      <c r="B41" t="s">
        <v>46</v>
      </c>
      <c r="C41">
        <f>C40^2</f>
        <v>0</v>
      </c>
      <c r="D41">
        <f t="shared" ref="D41:O41" si="0">D40^2</f>
        <v>6.25E-2</v>
      </c>
      <c r="E41">
        <f t="shared" si="0"/>
        <v>0.25</v>
      </c>
      <c r="F41">
        <f t="shared" si="0"/>
        <v>0.5625</v>
      </c>
      <c r="G41">
        <f t="shared" si="0"/>
        <v>1</v>
      </c>
      <c r="H41">
        <f t="shared" si="0"/>
        <v>1.5625</v>
      </c>
      <c r="I41">
        <f t="shared" si="0"/>
        <v>2.25</v>
      </c>
      <c r="J41">
        <f t="shared" si="0"/>
        <v>3.0625</v>
      </c>
      <c r="K41">
        <f t="shared" si="0"/>
        <v>4</v>
      </c>
      <c r="L41">
        <f t="shared" si="0"/>
        <v>5.0625</v>
      </c>
      <c r="M41">
        <f t="shared" si="0"/>
        <v>6.25</v>
      </c>
      <c r="N41">
        <f t="shared" si="0"/>
        <v>7.5625</v>
      </c>
      <c r="O41">
        <f t="shared" si="0"/>
        <v>9</v>
      </c>
    </row>
    <row r="42" spans="2:27" x14ac:dyDescent="0.35">
      <c r="B42" t="s">
        <v>50</v>
      </c>
      <c r="C42">
        <f>C41*$C$38</f>
        <v>0</v>
      </c>
      <c r="D42">
        <f t="shared" ref="D42:O42" si="1">D41*$C$38</f>
        <v>3.2780215240252902E-2</v>
      </c>
      <c r="E42">
        <f t="shared" si="1"/>
        <v>0.13112086096101161</v>
      </c>
      <c r="F42">
        <f t="shared" si="1"/>
        <v>0.29502193716227609</v>
      </c>
      <c r="G42">
        <f t="shared" si="1"/>
        <v>0.52448344384404644</v>
      </c>
      <c r="H42">
        <f t="shared" si="1"/>
        <v>0.81950538100632253</v>
      </c>
      <c r="I42">
        <f t="shared" si="1"/>
        <v>1.1800877486491044</v>
      </c>
      <c r="J42">
        <f t="shared" si="1"/>
        <v>1.6062305467723923</v>
      </c>
      <c r="K42">
        <f t="shared" si="1"/>
        <v>2.0979337753761857</v>
      </c>
      <c r="L42">
        <f t="shared" si="1"/>
        <v>2.6551974344604852</v>
      </c>
      <c r="M42">
        <f t="shared" si="1"/>
        <v>3.2780215240252901</v>
      </c>
      <c r="N42">
        <f t="shared" si="1"/>
        <v>3.966406044070601</v>
      </c>
      <c r="O42">
        <f t="shared" si="1"/>
        <v>4.7203509945964175</v>
      </c>
    </row>
    <row r="43" spans="2:27" x14ac:dyDescent="0.35">
      <c r="B43" t="s">
        <v>57</v>
      </c>
      <c r="C43" t="e" cm="1">
        <f t="array" aca="1" ref="C43" ca="1">spline(Sheet2!$A$2:$A$14,Sheet2!$B$2:$B$14,Sheet1!C40,TRUE)</f>
        <v>#NAME?</v>
      </c>
      <c r="D43" t="e" cm="1">
        <f t="array" aca="1" ref="D43" ca="1">spline(Sheet2!$A$2:$A$14,Sheet2!$B$2:$B$14,Sheet1!D40,TRUE)</f>
        <v>#NAME?</v>
      </c>
      <c r="E43" t="e" cm="1">
        <f t="array" aca="1" ref="E43" ca="1">spline(Sheet2!$A$2:$A$14,Sheet2!$B$2:$B$14,Sheet1!E40,TRUE)</f>
        <v>#NAME?</v>
      </c>
      <c r="F43" t="e" cm="1">
        <f t="array" aca="1" ref="F43" ca="1">spline(Sheet2!$A$2:$A$14,Sheet2!$B$2:$B$14,Sheet1!F40,TRUE)</f>
        <v>#NAME?</v>
      </c>
      <c r="G43" t="e" cm="1">
        <f t="array" aca="1" ref="G43" ca="1">spline(Sheet2!$A$2:$A$14,Sheet2!$B$2:$B$14,Sheet1!G40,TRUE)</f>
        <v>#NAME?</v>
      </c>
      <c r="H43" t="e" cm="1">
        <f t="array" aca="1" ref="H43" ca="1">spline(Sheet2!$A$2:$A$14,Sheet2!$B$2:$B$14,Sheet1!H40,TRUE)</f>
        <v>#NAME?</v>
      </c>
      <c r="I43" t="e" cm="1">
        <f t="array" aca="1" ref="I43" ca="1">spline(Sheet2!$A$2:$A$14,Sheet2!$B$2:$B$14,Sheet1!I40,TRUE)</f>
        <v>#NAME?</v>
      </c>
      <c r="J43" t="e" cm="1">
        <f t="array" aca="1" ref="J43" ca="1">spline(Sheet2!$A$2:$A$14,Sheet2!$B$2:$B$14,Sheet1!J40,TRUE)</f>
        <v>#NAME?</v>
      </c>
      <c r="K43" t="e" cm="1">
        <f t="array" aca="1" ref="K43" ca="1">spline(Sheet2!$A$2:$A$14,Sheet2!$B$2:$B$14,Sheet1!K40,TRUE)</f>
        <v>#NAME?</v>
      </c>
      <c r="L43" t="e" cm="1">
        <f t="array" aca="1" ref="L43" ca="1">spline(Sheet2!$A$2:$A$14,Sheet2!$B$2:$B$14,Sheet1!L40,TRUE)</f>
        <v>#NAME?</v>
      </c>
      <c r="M43" t="e" cm="1">
        <f t="array" aca="1" ref="M43" ca="1">spline(Sheet2!$A$2:$A$14,Sheet2!$B$2:$B$14,Sheet1!M40,TRUE)</f>
        <v>#NAME?</v>
      </c>
      <c r="N43" t="e" cm="1">
        <f t="array" aca="1" ref="N43" ca="1">spline(Sheet2!$A$2:$A$14,Sheet2!$B$2:$B$14,Sheet1!N40,TRUE)</f>
        <v>#NAME?</v>
      </c>
      <c r="O43" t="e" cm="1">
        <f t="array" aca="1" ref="O43" ca="1">spline(Sheet2!$A$2:$A$14,Sheet2!$B$2:$B$14,Sheet1!O40,TRUE)</f>
        <v>#NAME?</v>
      </c>
      <c r="P43">
        <v>0.8</v>
      </c>
      <c r="Q43" t="e" cm="1">
        <f t="array" aca="1" ref="Q43" ca="1">spline($C$43:$O$43,$C$40:$O$40,0,TRUE)</f>
        <v>#NAME?</v>
      </c>
      <c r="R43" t="e">
        <f t="shared" ref="R43:R48" ca="1" si="2">$C$17/(Q43*$H$32)</f>
        <v>#NAME?</v>
      </c>
      <c r="S43" t="e" cm="1">
        <f t="array" aca="1" ref="S43" ca="1">spline(Sheet2!$A$2:$A$14,Sheet2!$B$2:$B$14,Sheet1!Q43,TRUE)</f>
        <v>#NAME?</v>
      </c>
      <c r="T43" t="e">
        <f t="shared" ref="T43:T48" ca="1" si="3">$C$11*R43^2*$H$32^4</f>
        <v>#NAME?</v>
      </c>
      <c r="U43">
        <f>($C$18-$C$19)/($C$11*$C$17^2)</f>
        <v>0.84347214806528203</v>
      </c>
      <c r="V43" s="2" t="e" cm="1">
        <f t="array" aca="1" ref="V43" ca="1">spline(Sheet3!$A$2:$A$10,Sheet3!$B$2:$B$10,Sheet1!U43,TRUE)</f>
        <v>#NAME?</v>
      </c>
      <c r="W43" t="e">
        <f ca="1">V43*$C$11*$C$34*$C$17^2</f>
        <v>#NAME?</v>
      </c>
      <c r="X43" t="e">
        <f ca="1">IF(C27&gt;W43,0,P43)</f>
        <v>#NAME?</v>
      </c>
      <c r="Y43">
        <v>0.8</v>
      </c>
      <c r="Z43" t="e">
        <f ca="1">T43*(H32 + 0.64)^0.4*(0.0073*C17 + 0.8625)</f>
        <v>#NAME?</v>
      </c>
      <c r="AA43" t="e">
        <f ca="1">W43*(1.36 - $H$32)^0.6</f>
        <v>#NAME?</v>
      </c>
    </row>
    <row r="44" spans="2:27" x14ac:dyDescent="0.35">
      <c r="B44" t="s">
        <v>51</v>
      </c>
      <c r="C44" t="e" cm="1">
        <f t="array" aca="1" ref="C44" ca="1">spline(Sheet2!$C$2:$C$14,Sheet2!$D$2:$D$14,Sheet1!C40,TRUE)</f>
        <v>#NAME?</v>
      </c>
      <c r="D44" t="e" cm="1">
        <f t="array" aca="1" ref="D44" ca="1">spline(Sheet2!$C$2:$C$14,Sheet2!$D$2:$D$14,Sheet1!D40,TRUE)</f>
        <v>#NAME?</v>
      </c>
      <c r="E44" t="e" cm="1">
        <f t="array" aca="1" ref="E44" ca="1">spline(Sheet2!$C$2:$C$14,Sheet2!$D$2:$D$14,Sheet1!E40,TRUE)</f>
        <v>#NAME?</v>
      </c>
      <c r="F44" t="e" cm="1">
        <f t="array" aca="1" ref="F44" ca="1">spline(Sheet2!$C$2:$C$14,Sheet2!$D$2:$D$14,Sheet1!F40,TRUE)</f>
        <v>#NAME?</v>
      </c>
      <c r="G44" t="e" cm="1">
        <f t="array" aca="1" ref="G44" ca="1">spline(Sheet2!$C$2:$C$14,Sheet2!$D$2:$D$14,Sheet1!G40,TRUE)</f>
        <v>#NAME?</v>
      </c>
      <c r="H44" t="e" cm="1">
        <f t="array" aca="1" ref="H44" ca="1">spline(Sheet2!$C$2:$C$14,Sheet2!$D$2:$D$14,Sheet1!H40,TRUE)</f>
        <v>#NAME?</v>
      </c>
      <c r="I44" t="e" cm="1">
        <f t="array" aca="1" ref="I44" ca="1">spline(Sheet2!$C$2:$C$14,Sheet2!$D$2:$D$14,Sheet1!I40,TRUE)</f>
        <v>#NAME?</v>
      </c>
      <c r="J44" t="e" cm="1">
        <f t="array" aca="1" ref="J44" ca="1">spline(Sheet2!$C$2:$C$14,Sheet2!$D$2:$D$14,Sheet1!J40,TRUE)</f>
        <v>#NAME?</v>
      </c>
      <c r="K44" t="e" cm="1">
        <f t="array" aca="1" ref="K44" ca="1">spline(Sheet2!$C$2:$C$14,Sheet2!$D$2:$D$14,Sheet1!K40,TRUE)</f>
        <v>#NAME?</v>
      </c>
      <c r="L44" t="e" cm="1">
        <f t="array" aca="1" ref="L44" ca="1">spline(Sheet2!$C$2:$C$14,Sheet2!$D$2:$D$14,Sheet1!L40,TRUE)</f>
        <v>#NAME?</v>
      </c>
      <c r="M44" t="e" cm="1">
        <f t="array" aca="1" ref="M44" ca="1">spline(Sheet2!$C$2:$C$14,Sheet2!$D$2:$D$14,Sheet1!M40,TRUE)</f>
        <v>#NAME?</v>
      </c>
      <c r="N44" t="e" cm="1">
        <f t="array" aca="1" ref="N44" ca="1">spline(Sheet2!$C$2:$C$14,Sheet2!$D$2:$D$14,Sheet1!N40,TRUE)</f>
        <v>#NAME?</v>
      </c>
      <c r="O44" t="e" cm="1">
        <f t="array" aca="1" ref="O44" ca="1">spline(Sheet2!$C$2:$C$14,Sheet2!$D$2:$D$14,Sheet1!O40,TRUE)</f>
        <v>#NAME?</v>
      </c>
      <c r="P44">
        <v>1</v>
      </c>
      <c r="Q44" t="e" cm="1">
        <f t="array" aca="1" ref="Q44" ca="1">spline($C$44:$O$44,$C$40:$O$40,0,TRUE)</f>
        <v>#NAME?</v>
      </c>
      <c r="R44" t="e">
        <f t="shared" ca="1" si="2"/>
        <v>#NAME?</v>
      </c>
      <c r="S44" t="e" cm="1">
        <f t="array" aca="1" ref="S44" ca="1">spline(Sheet2!$C$2:$C$14,Sheet2!$D$2:$D$14,Sheet1!Q44,TRUE)</f>
        <v>#NAME?</v>
      </c>
      <c r="T44" t="e">
        <f t="shared" ca="1" si="3"/>
        <v>#NAME?</v>
      </c>
      <c r="U44">
        <f t="shared" ref="U44:U48" si="4">($C$18-$C$19)/($C$11*$C$17^2)</f>
        <v>0.84347214806528203</v>
      </c>
      <c r="V44" s="2" t="e" cm="1">
        <f t="array" aca="1" ref="V44" ca="1">spline(Sheet3!$C$2:$C$10,Sheet3!$D$2:$D$10,Sheet1!U44,TRUE)</f>
        <v>#NAME?</v>
      </c>
      <c r="W44" t="e">
        <f t="shared" ref="W44:W48" ca="1" si="5">V44*$C$11*$C$34*$C$17^2</f>
        <v>#NAME?</v>
      </c>
      <c r="X44" t="e">
        <f t="shared" ref="X44:X48" ca="1" si="6">IF(C28&gt;W44,0,P44)</f>
        <v>#NAME?</v>
      </c>
      <c r="Y44">
        <v>1</v>
      </c>
      <c r="Z44" t="e">
        <f t="shared" ref="Z44:Z48" ca="1" si="7">T44*(H33 + 0.64)^0.4*(0.0073*C18 + 0.8625)</f>
        <v>#NAME?</v>
      </c>
      <c r="AA44" t="e">
        <f t="shared" ref="AA44:AA48" ca="1" si="8">W44*(1.36 - $H$32)^0.6</f>
        <v>#NAME?</v>
      </c>
    </row>
    <row r="45" spans="2:27" x14ac:dyDescent="0.35">
      <c r="B45" t="s">
        <v>52</v>
      </c>
      <c r="C45" t="e" cm="1">
        <f t="array" aca="1" ref="C45" ca="1">spline(Sheet2!$E$2:$E$14,Sheet2!$F$2:$F$14,Sheet1!C40,TRUE)</f>
        <v>#NAME?</v>
      </c>
      <c r="D45" t="e" cm="1">
        <f t="array" aca="1" ref="D45" ca="1">spline(Sheet2!$E$2:$E$14,Sheet2!$F$2:$F$14,Sheet1!D40,TRUE)</f>
        <v>#NAME?</v>
      </c>
      <c r="E45" t="e" cm="1">
        <f t="array" aca="1" ref="E45" ca="1">spline(Sheet2!$E$2:$E$14,Sheet2!$F$2:$F$14,Sheet1!E40,TRUE)</f>
        <v>#NAME?</v>
      </c>
      <c r="F45" t="e" cm="1">
        <f t="array" aca="1" ref="F45" ca="1">spline(Sheet2!$E$2:$E$14,Sheet2!$F$2:$F$14,Sheet1!F40,TRUE)</f>
        <v>#NAME?</v>
      </c>
      <c r="G45" t="e" cm="1">
        <f t="array" aca="1" ref="G45" ca="1">spline(Sheet2!$E$2:$E$14,Sheet2!$F$2:$F$14,Sheet1!G40,TRUE)</f>
        <v>#NAME?</v>
      </c>
      <c r="H45" t="e" cm="1">
        <f t="array" aca="1" ref="H45" ca="1">spline(Sheet2!$E$2:$E$14,Sheet2!$F$2:$F$14,Sheet1!H40,TRUE)</f>
        <v>#NAME?</v>
      </c>
      <c r="I45" t="e" cm="1">
        <f t="array" aca="1" ref="I45" ca="1">spline(Sheet2!$E$2:$E$14,Sheet2!$F$2:$F$14,Sheet1!I40,TRUE)</f>
        <v>#NAME?</v>
      </c>
      <c r="J45" t="e" cm="1">
        <f t="array" aca="1" ref="J45" ca="1">spline(Sheet2!$E$2:$E$14,Sheet2!$F$2:$F$14,Sheet1!J40,TRUE)</f>
        <v>#NAME?</v>
      </c>
      <c r="K45" t="e" cm="1">
        <f t="array" aca="1" ref="K45" ca="1">spline(Sheet2!$E$2:$E$14,Sheet2!$F$2:$F$14,Sheet1!K40,TRUE)</f>
        <v>#NAME?</v>
      </c>
      <c r="L45" t="e" cm="1">
        <f t="array" aca="1" ref="L45" ca="1">spline(Sheet2!$E$2:$E$14,Sheet2!$F$2:$F$14,Sheet1!L40,TRUE)</f>
        <v>#NAME?</v>
      </c>
      <c r="M45" t="e" cm="1">
        <f t="array" aca="1" ref="M45" ca="1">spline(Sheet2!$E$2:$E$14,Sheet2!$F$2:$F$14,Sheet1!M40,TRUE)</f>
        <v>#NAME?</v>
      </c>
      <c r="N45" t="e" cm="1">
        <f t="array" aca="1" ref="N45" ca="1">spline(Sheet2!$E$2:$E$14,Sheet2!$F$2:$F$14,Sheet1!N40,TRUE)</f>
        <v>#NAME?</v>
      </c>
      <c r="O45" t="e" cm="1">
        <f t="array" aca="1" ref="O45" ca="1">spline(Sheet2!$E$2:$E$14,Sheet2!$F$2:$F$14,Sheet1!O40,TRUE)</f>
        <v>#NAME?</v>
      </c>
      <c r="P45">
        <v>1.2</v>
      </c>
      <c r="Q45" t="e" cm="1">
        <f t="array" aca="1" ref="Q45" ca="1">spline($C$45:$O$45,$C$40:$O$40,0,TRUE)</f>
        <v>#NAME?</v>
      </c>
      <c r="R45" t="e">
        <f t="shared" ca="1" si="2"/>
        <v>#NAME?</v>
      </c>
      <c r="S45" t="e" cm="1">
        <f t="array" aca="1" ref="S45" ca="1">spline(Sheet2!$E$2:$E$14,Sheet2!$F$2:$F$14,Sheet1!Q45,TRUE)</f>
        <v>#NAME?</v>
      </c>
      <c r="T45" t="e">
        <f t="shared" ca="1" si="3"/>
        <v>#NAME?</v>
      </c>
      <c r="U45">
        <f t="shared" si="4"/>
        <v>0.84347214806528203</v>
      </c>
      <c r="V45" s="2" t="e" cm="1">
        <f t="array" aca="1" ref="V45" ca="1">spline(Sheet3!$E$2:$E$10,Sheet3!$F$2:$F$10,Sheet1!U45,TRUE)</f>
        <v>#NAME?</v>
      </c>
      <c r="W45" t="e">
        <f t="shared" ca="1" si="5"/>
        <v>#NAME?</v>
      </c>
      <c r="X45" t="e">
        <f t="shared" ca="1" si="6"/>
        <v>#NAME?</v>
      </c>
      <c r="Y45">
        <v>1.2</v>
      </c>
      <c r="Z45" t="e">
        <f t="shared" ca="1" si="7"/>
        <v>#NAME?</v>
      </c>
      <c r="AA45" t="e">
        <f t="shared" ca="1" si="8"/>
        <v>#NAME?</v>
      </c>
    </row>
    <row r="46" spans="2:27" x14ac:dyDescent="0.35">
      <c r="B46" t="s">
        <v>53</v>
      </c>
      <c r="C46" t="e" cm="1">
        <f t="array" aca="1" ref="C46" ca="1">spline(Sheet2!$G$2:$G$14,Sheet2!$H$2:$H$14,Sheet1!C40,TRUE)</f>
        <v>#NAME?</v>
      </c>
      <c r="D46" t="e" cm="1">
        <f t="array" aca="1" ref="D46" ca="1">spline(Sheet2!$G$2:$G$14,Sheet2!$H$2:$H$14,Sheet1!D40,TRUE)</f>
        <v>#NAME?</v>
      </c>
      <c r="E46" t="e" cm="1">
        <f t="array" aca="1" ref="E46" ca="1">spline(Sheet2!$G$2:$G$14,Sheet2!$H$2:$H$14,Sheet1!E40,TRUE)</f>
        <v>#NAME?</v>
      </c>
      <c r="F46" t="e" cm="1">
        <f t="array" aca="1" ref="F46" ca="1">spline(Sheet2!$G$2:$G$14,Sheet2!$H$2:$H$14,Sheet1!F40,TRUE)</f>
        <v>#NAME?</v>
      </c>
      <c r="G46" t="e" cm="1">
        <f t="array" aca="1" ref="G46" ca="1">spline(Sheet2!$G$2:$G$14,Sheet2!$H$2:$H$14,Sheet1!G40,TRUE)</f>
        <v>#NAME?</v>
      </c>
      <c r="H46" t="e" cm="1">
        <f t="array" aca="1" ref="H46" ca="1">spline(Sheet2!$G$2:$G$14,Sheet2!$H$2:$H$14,Sheet1!H40,TRUE)</f>
        <v>#NAME?</v>
      </c>
      <c r="I46" t="e" cm="1">
        <f t="array" aca="1" ref="I46" ca="1">spline(Sheet2!$G$2:$G$14,Sheet2!$H$2:$H$14,Sheet1!I40,TRUE)</f>
        <v>#NAME?</v>
      </c>
      <c r="J46" t="e" cm="1">
        <f t="array" aca="1" ref="J46" ca="1">spline(Sheet2!$G$2:$G$14,Sheet2!$H$2:$H$14,Sheet1!J40,TRUE)</f>
        <v>#NAME?</v>
      </c>
      <c r="K46" t="e" cm="1">
        <f t="array" aca="1" ref="K46" ca="1">spline(Sheet2!$G$2:$G$14,Sheet2!$H$2:$H$14,Sheet1!K40,TRUE)</f>
        <v>#NAME?</v>
      </c>
      <c r="L46" t="e" cm="1">
        <f t="array" aca="1" ref="L46" ca="1">spline(Sheet2!$G$2:$G$14,Sheet2!$H$2:$H$14,Sheet1!L40,TRUE)</f>
        <v>#NAME?</v>
      </c>
      <c r="M46" t="e" cm="1">
        <f t="array" aca="1" ref="M46" ca="1">spline(Sheet2!$G$2:$G$14,Sheet2!$H$2:$H$14,Sheet1!M40,TRUE)</f>
        <v>#NAME?</v>
      </c>
      <c r="N46" t="e" cm="1">
        <f t="array" aca="1" ref="N46" ca="1">spline(Sheet2!$G$2:$G$14,Sheet2!$H$2:$H$14,Sheet1!N40,TRUE)</f>
        <v>#NAME?</v>
      </c>
      <c r="O46" t="e" cm="1">
        <f t="array" aca="1" ref="O46" ca="1">spline(Sheet2!$G$2:$G$14,Sheet2!$H$2:$H$14,Sheet1!O40,TRUE)</f>
        <v>#NAME?</v>
      </c>
      <c r="P46">
        <v>1.4</v>
      </c>
      <c r="Q46" t="e" cm="1">
        <f t="array" aca="1" ref="Q46" ca="1">spline($C$46:$O$46,$C$40:$O$40,0,TRUE)</f>
        <v>#NAME?</v>
      </c>
      <c r="R46" t="e">
        <f t="shared" ca="1" si="2"/>
        <v>#NAME?</v>
      </c>
      <c r="S46" t="e" cm="1">
        <f t="array" aca="1" ref="S46" ca="1">spline(Sheet2!$G$2:$G$14,Sheet2!$H$2:$H$14,Sheet1!Q46,TRUE)</f>
        <v>#NAME?</v>
      </c>
      <c r="T46" t="e">
        <f t="shared" ca="1" si="3"/>
        <v>#NAME?</v>
      </c>
      <c r="U46">
        <f t="shared" si="4"/>
        <v>0.84347214806528203</v>
      </c>
      <c r="V46" s="2" t="e" cm="1">
        <f t="array" aca="1" ref="V46" ca="1">spline(Sheet3!$G$2:$G$10,Sheet3!$H$2:$H$10,Sheet1!U46,TRUE)</f>
        <v>#NAME?</v>
      </c>
      <c r="W46" t="e">
        <f t="shared" ca="1" si="5"/>
        <v>#NAME?</v>
      </c>
      <c r="X46" t="e">
        <f t="shared" ca="1" si="6"/>
        <v>#NAME?</v>
      </c>
      <c r="Y46">
        <v>1.4</v>
      </c>
      <c r="Z46" t="e">
        <f t="shared" ca="1" si="7"/>
        <v>#NAME?</v>
      </c>
      <c r="AA46" t="e">
        <f t="shared" ca="1" si="8"/>
        <v>#NAME?</v>
      </c>
    </row>
    <row r="47" spans="2:27" x14ac:dyDescent="0.35">
      <c r="B47" t="s">
        <v>54</v>
      </c>
      <c r="C47" t="e" cm="1">
        <f t="array" aca="1" ref="C47" ca="1">spline(Sheet2!$I$2:$I$14,Sheet2!$J$2:$J$14,Sheet1!C40,TRUE)</f>
        <v>#NAME?</v>
      </c>
      <c r="D47" t="e" cm="1">
        <f t="array" aca="1" ref="D47" ca="1">spline(Sheet2!$I$2:$I$14,Sheet2!$J$2:$J$14,Sheet1!D40,TRUE)</f>
        <v>#NAME?</v>
      </c>
      <c r="E47" t="e" cm="1">
        <f t="array" aca="1" ref="E47" ca="1">spline(Sheet2!$I$2:$I$14,Sheet2!$J$2:$J$14,Sheet1!E40,TRUE)</f>
        <v>#NAME?</v>
      </c>
      <c r="F47" t="e" cm="1">
        <f t="array" aca="1" ref="F47" ca="1">spline(Sheet2!$I$2:$I$14,Sheet2!$J$2:$J$14,Sheet1!F40,TRUE)</f>
        <v>#NAME?</v>
      </c>
      <c r="G47" t="e" cm="1">
        <f t="array" aca="1" ref="G47" ca="1">spline(Sheet2!$I$2:$I$14,Sheet2!$J$2:$J$14,Sheet1!G40,TRUE)</f>
        <v>#NAME?</v>
      </c>
      <c r="H47" t="e" cm="1">
        <f t="array" aca="1" ref="H47" ca="1">spline(Sheet2!$I$2:$I$14,Sheet2!$J$2:$J$14,Sheet1!H40,TRUE)</f>
        <v>#NAME?</v>
      </c>
      <c r="I47" t="e" cm="1">
        <f t="array" aca="1" ref="I47" ca="1">spline(Sheet2!$I$2:$I$14,Sheet2!$J$2:$J$14,Sheet1!I40,TRUE)</f>
        <v>#NAME?</v>
      </c>
      <c r="J47" t="e" cm="1">
        <f t="array" aca="1" ref="J47" ca="1">spline(Sheet2!$I$2:$I$14,Sheet2!$J$2:$J$14,Sheet1!J40,TRUE)</f>
        <v>#NAME?</v>
      </c>
      <c r="K47" t="e" cm="1">
        <f t="array" aca="1" ref="K47" ca="1">spline(Sheet2!$I$2:$I$14,Sheet2!$J$2:$J$14,Sheet1!K40,TRUE)</f>
        <v>#NAME?</v>
      </c>
      <c r="L47" t="e" cm="1">
        <f t="array" aca="1" ref="L47" ca="1">spline(Sheet2!$I$2:$I$14,Sheet2!$J$2:$J$14,Sheet1!L40,TRUE)</f>
        <v>#NAME?</v>
      </c>
      <c r="M47" t="e" cm="1">
        <f t="array" aca="1" ref="M47" ca="1">spline(Sheet2!$I$2:$I$14,Sheet2!$J$2:$J$14,Sheet1!M40,TRUE)</f>
        <v>#NAME?</v>
      </c>
      <c r="N47" t="e" cm="1">
        <f t="array" aca="1" ref="N47" ca="1">spline(Sheet2!$I$2:$I$14,Sheet2!$J$2:$J$14,Sheet1!N40,TRUE)</f>
        <v>#NAME?</v>
      </c>
      <c r="O47" t="e" cm="1">
        <f t="array" aca="1" ref="O47" ca="1">spline(Sheet2!$I$2:$I$14,Sheet2!$J$2:$J$14,Sheet1!O40,TRUE)</f>
        <v>#NAME?</v>
      </c>
      <c r="P47">
        <v>1.6</v>
      </c>
      <c r="Q47" t="e" cm="1">
        <f t="array" aca="1" ref="Q47" ca="1">spline($C$47:$O$47,$C$40:$O$40,0,TRUE)</f>
        <v>#NAME?</v>
      </c>
      <c r="R47" t="e">
        <f t="shared" ca="1" si="2"/>
        <v>#NAME?</v>
      </c>
      <c r="S47" t="e" cm="1">
        <f t="array" aca="1" ref="S47" ca="1">spline(Sheet2!$I$2:$I$14,Sheet2!$J$2:$J$14,Sheet1!Q47,TRUE)</f>
        <v>#NAME?</v>
      </c>
      <c r="T47" t="e">
        <f t="shared" ca="1" si="3"/>
        <v>#NAME?</v>
      </c>
      <c r="U47">
        <f t="shared" si="4"/>
        <v>0.84347214806528203</v>
      </c>
      <c r="V47" s="2" t="e" cm="1">
        <f t="array" aca="1" ref="V47" ca="1">spline(Sheet3!$I$2:$I$10,Sheet3!$J$2:$J$10,Sheet1!U47,TRUE)</f>
        <v>#NAME?</v>
      </c>
      <c r="W47" t="e">
        <f t="shared" ca="1" si="5"/>
        <v>#NAME?</v>
      </c>
      <c r="X47" t="e">
        <f t="shared" ca="1" si="6"/>
        <v>#NAME?</v>
      </c>
      <c r="Y47">
        <v>1.6</v>
      </c>
      <c r="Z47" t="e">
        <f t="shared" ca="1" si="7"/>
        <v>#NAME?</v>
      </c>
      <c r="AA47" t="e">
        <f t="shared" ca="1" si="8"/>
        <v>#NAME?</v>
      </c>
    </row>
    <row r="48" spans="2:27" x14ac:dyDescent="0.35">
      <c r="B48" t="s">
        <v>56</v>
      </c>
      <c r="C48" t="e" cm="1">
        <f t="array" aca="1" ref="C48" ca="1">spline(Sheet2!$K$2:$K$14,Sheet2!$L$2:$L$14,Sheet1!C40,TRUE)</f>
        <v>#NAME?</v>
      </c>
      <c r="D48" t="e" cm="1">
        <f t="array" aca="1" ref="D48" ca="1">spline(Sheet2!$K$2:$K$14,Sheet2!$L$2:$L$14,Sheet1!D40,TRUE)</f>
        <v>#NAME?</v>
      </c>
      <c r="E48" t="e" cm="1">
        <f t="array" aca="1" ref="E48" ca="1">spline(Sheet2!$K$2:$K$14,Sheet2!$L$2:$L$14,Sheet1!E40,TRUE)</f>
        <v>#NAME?</v>
      </c>
      <c r="F48" t="e" cm="1">
        <f t="array" aca="1" ref="F48" ca="1">spline(Sheet2!$K$2:$K$14,Sheet2!$L$2:$L$14,Sheet1!F40,TRUE)</f>
        <v>#NAME?</v>
      </c>
      <c r="G48" t="e" cm="1">
        <f t="array" aca="1" ref="G48" ca="1">spline(Sheet2!$K$2:$K$14,Sheet2!$L$2:$L$14,Sheet1!G40,TRUE)</f>
        <v>#NAME?</v>
      </c>
      <c r="H48" t="e" cm="1">
        <f t="array" aca="1" ref="H48" ca="1">spline(Sheet2!$K$2:$K$14,Sheet2!$L$2:$L$14,Sheet1!H40,TRUE)</f>
        <v>#NAME?</v>
      </c>
      <c r="I48" t="e" cm="1">
        <f t="array" aca="1" ref="I48" ca="1">spline(Sheet2!$K$2:$K$14,Sheet2!$L$2:$L$14,Sheet1!I40,TRUE)</f>
        <v>#NAME?</v>
      </c>
      <c r="J48" t="e" cm="1">
        <f t="array" aca="1" ref="J48" ca="1">spline(Sheet2!$K$2:$K$14,Sheet2!$L$2:$L$14,Sheet1!J40,TRUE)</f>
        <v>#NAME?</v>
      </c>
      <c r="K48" t="e" cm="1">
        <f t="array" aca="1" ref="K48" ca="1">spline(Sheet2!$K$2:$K$14,Sheet2!$L$2:$L$14,Sheet1!K40,TRUE)</f>
        <v>#NAME?</v>
      </c>
      <c r="L48" t="e" cm="1">
        <f t="array" aca="1" ref="L48" ca="1">spline(Sheet2!$K$2:$K$14,Sheet2!$L$2:$L$14,Sheet1!L40,TRUE)</f>
        <v>#NAME?</v>
      </c>
      <c r="M48" t="e" cm="1">
        <f t="array" aca="1" ref="M48" ca="1">spline(Sheet2!$K$2:$K$14,Sheet2!$L$2:$L$14,Sheet1!M40,TRUE)</f>
        <v>#NAME?</v>
      </c>
      <c r="N48" t="e" cm="1">
        <f t="array" aca="1" ref="N48" ca="1">spline(Sheet2!$K$2:$K$14,Sheet2!$L$2:$L$14,Sheet1!N40,TRUE)</f>
        <v>#NAME?</v>
      </c>
      <c r="O48" t="e" cm="1">
        <f t="array" aca="1" ref="O48" ca="1">spline(Sheet2!$K$2:$K$14,Sheet2!$L$2:$L$14,Sheet1!O40,TRUE)</f>
        <v>#NAME?</v>
      </c>
      <c r="P48">
        <v>1.8</v>
      </c>
      <c r="Q48" t="e" cm="1">
        <f t="array" aca="1" ref="Q48" ca="1">spline($C$48:$O$48,$C$40:$O$40,0,TRUE)</f>
        <v>#NAME?</v>
      </c>
      <c r="R48" t="e">
        <f t="shared" ca="1" si="2"/>
        <v>#NAME?</v>
      </c>
      <c r="S48" t="e" cm="1">
        <f t="array" aca="1" ref="S48" ca="1">spline(Sheet2!$K$2:$K$14,Sheet2!$L$2:$L$14,Sheet1!Q48,TRUE)</f>
        <v>#NAME?</v>
      </c>
      <c r="T48" t="e">
        <f t="shared" ca="1" si="3"/>
        <v>#NAME?</v>
      </c>
      <c r="U48">
        <f t="shared" si="4"/>
        <v>0.84347214806528203</v>
      </c>
      <c r="V48" s="2" t="e" cm="1">
        <f t="array" aca="1" ref="V48" ca="1">spline(Sheet3!$K$2:$K$10,Sheet3!$L$2:$L$10,Sheet1!U48,TRUE)</f>
        <v>#NAME?</v>
      </c>
      <c r="W48" t="e">
        <f t="shared" ca="1" si="5"/>
        <v>#NAME?</v>
      </c>
      <c r="X48" t="e">
        <f t="shared" ca="1" si="6"/>
        <v>#NAME?</v>
      </c>
      <c r="Y48">
        <v>1.8</v>
      </c>
      <c r="Z48" t="e">
        <f t="shared" ca="1" si="7"/>
        <v>#NAME?</v>
      </c>
      <c r="AA48" t="e">
        <f t="shared" ca="1" si="8"/>
        <v>#NAME?</v>
      </c>
    </row>
    <row r="50" spans="2:27" x14ac:dyDescent="0.35">
      <c r="B50" t="s">
        <v>69</v>
      </c>
      <c r="C50" t="e">
        <f ca="1">X50*C11*H32^5*R50^3</f>
        <v>#NAME?</v>
      </c>
      <c r="R50" s="1" t="e">
        <f ca="1">VLOOKUP(X51,P43:R48,3)</f>
        <v>#NAME?</v>
      </c>
      <c r="X50" t="e">
        <f ca="1">MAX(X43:X48)</f>
        <v>#NAME?</v>
      </c>
      <c r="Z50" t="e">
        <f ca="1">VLOOKUP(X51,Y43:AA48,2)</f>
        <v>#NAME?</v>
      </c>
      <c r="AA50" t="e">
        <f ca="1">VLOOKUP(X51,Y43:AA48,3)</f>
        <v>#NAME?</v>
      </c>
    </row>
    <row r="51" spans="2:27" x14ac:dyDescent="0.35">
      <c r="B51" t="s">
        <v>70</v>
      </c>
      <c r="C51" t="e">
        <f ca="1">Z50</f>
        <v>#NAME?</v>
      </c>
      <c r="X51">
        <v>1.8</v>
      </c>
    </row>
    <row r="52" spans="2:27" x14ac:dyDescent="0.35">
      <c r="B52" t="s">
        <v>73</v>
      </c>
      <c r="C52" t="e">
        <f ca="1">AA50</f>
        <v>#NAME?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E0A8-9D84-4B4A-B35A-578031CC1DF4}">
  <dimension ref="A1:O14"/>
  <sheetViews>
    <sheetView workbookViewId="0">
      <selection sqref="A1:XFD1048576"/>
    </sheetView>
  </sheetViews>
  <sheetFormatPr defaultRowHeight="14.5" x14ac:dyDescent="0.35"/>
  <sheetData>
    <row r="1" spans="1:15" x14ac:dyDescent="0.35">
      <c r="A1">
        <v>0.8</v>
      </c>
      <c r="C1">
        <v>1</v>
      </c>
      <c r="E1">
        <v>1.2</v>
      </c>
      <c r="G1">
        <v>1.4</v>
      </c>
      <c r="I1" t="s">
        <v>55</v>
      </c>
      <c r="K1">
        <v>1.8</v>
      </c>
    </row>
    <row r="2" spans="1:15" x14ac:dyDescent="0.35">
      <c r="A2" s="10">
        <v>1.158519826127551E-6</v>
      </c>
      <c r="B2" s="10">
        <v>0.77490367014606787</v>
      </c>
      <c r="C2" s="10">
        <v>1.2864103451253641E-6</v>
      </c>
      <c r="D2" s="10">
        <v>0.89888215866014587</v>
      </c>
      <c r="E2" s="10">
        <v>-7.5552679788077363E-3</v>
      </c>
      <c r="F2" s="10">
        <v>1.0279883004932904</v>
      </c>
      <c r="G2" s="10">
        <v>7.5581490252972618E-3</v>
      </c>
      <c r="H2" s="10">
        <v>1.110716865778254</v>
      </c>
      <c r="I2" s="10">
        <v>7.5582440664548082E-3</v>
      </c>
      <c r="J2" s="10">
        <v>1.2346953518732882</v>
      </c>
      <c r="K2" s="10">
        <v>7.5583324830733054E-3</v>
      </c>
      <c r="L2" s="10">
        <v>1.3638396082222817</v>
      </c>
      <c r="N2" s="9"/>
      <c r="O2" s="9"/>
    </row>
    <row r="3" spans="1:15" x14ac:dyDescent="0.35">
      <c r="A3" s="10">
        <v>0.25692796474950974</v>
      </c>
      <c r="B3" s="10">
        <v>0.66771889945923912</v>
      </c>
      <c r="C3" s="10">
        <v>0.25692809712328807</v>
      </c>
      <c r="D3" s="10">
        <v>0.7916973791844365</v>
      </c>
      <c r="E3" s="10">
        <v>0.24181486722475554</v>
      </c>
      <c r="F3" s="10">
        <v>0.91559960035715171</v>
      </c>
      <c r="G3" s="10">
        <v>0.27204163332207171</v>
      </c>
      <c r="H3" s="10">
        <v>0.99840442538061636</v>
      </c>
      <c r="I3" s="10">
        <v>0.26448504068684398</v>
      </c>
      <c r="J3" s="10">
        <v>1.1016816857149432</v>
      </c>
      <c r="K3" s="10">
        <v>0.27204178711680682</v>
      </c>
      <c r="L3" s="10">
        <v>1.2050351864970761</v>
      </c>
      <c r="N3" s="9"/>
      <c r="O3" s="9"/>
    </row>
    <row r="4" spans="1:15" x14ac:dyDescent="0.35">
      <c r="A4" s="10">
        <v>0.49874145015091775</v>
      </c>
      <c r="B4" s="10">
        <v>0.58628667555803704</v>
      </c>
      <c r="C4" s="10">
        <v>0.50629824859602934</v>
      </c>
      <c r="D4" s="10">
        <v>0.69997173234531163</v>
      </c>
      <c r="E4" s="10">
        <v>0.50629835892692543</v>
      </c>
      <c r="F4" s="10">
        <v>0.81361865699560376</v>
      </c>
      <c r="G4" s="10">
        <v>0.50629843559985321</v>
      </c>
      <c r="H4" s="10">
        <v>0.90143673047601736</v>
      </c>
      <c r="I4" s="10">
        <v>0.51385517889571386</v>
      </c>
      <c r="J4" s="10">
        <v>0.98929292373078037</v>
      </c>
      <c r="K4" s="10">
        <v>0.50629857256145594</v>
      </c>
      <c r="L4" s="10">
        <v>1.0822386265661357</v>
      </c>
      <c r="N4" s="9"/>
      <c r="O4" s="9"/>
    </row>
    <row r="5" spans="1:15" x14ac:dyDescent="0.35">
      <c r="A5" s="10">
        <v>0.76322496420308417</v>
      </c>
      <c r="B5" s="10">
        <v>0.51013457355459013</v>
      </c>
      <c r="C5" s="10">
        <v>0.73299838777831383</v>
      </c>
      <c r="D5" s="10">
        <v>0.61846321943413529</v>
      </c>
      <c r="E5" s="10">
        <v>0.76322517640221899</v>
      </c>
      <c r="F5" s="10">
        <v>0.71159956263159363</v>
      </c>
      <c r="G5" s="10">
        <v>0.77833859752238443</v>
      </c>
      <c r="H5" s="10">
        <v>0.79432811047809815</v>
      </c>
      <c r="I5" s="10">
        <v>0.76322532089001793</v>
      </c>
      <c r="J5" s="10">
        <v>0.88206992053485622</v>
      </c>
      <c r="K5" s="10">
        <v>0.76322538107281723</v>
      </c>
      <c r="L5" s="10">
        <v>0.9647222073437417</v>
      </c>
      <c r="N5" s="9"/>
      <c r="O5" s="9"/>
    </row>
    <row r="6" spans="1:15" x14ac:dyDescent="0.35">
      <c r="A6" s="10">
        <v>0.98992511789604931</v>
      </c>
      <c r="B6" s="10">
        <v>0.44412335998695424</v>
      </c>
      <c r="C6" s="10">
        <v>1.0050385718443124</v>
      </c>
      <c r="D6" s="10">
        <v>0.53718344827836051</v>
      </c>
      <c r="E6" s="10">
        <v>1.0050386699302214</v>
      </c>
      <c r="F6" s="10">
        <v>0.63533304928959178</v>
      </c>
      <c r="G6" s="10">
        <v>1.0050387389405389</v>
      </c>
      <c r="H6" s="10">
        <v>0.71281957279022701</v>
      </c>
      <c r="I6" s="10">
        <v>1.0050388051318129</v>
      </c>
      <c r="J6" s="10">
        <v>0.79547186051189123</v>
      </c>
      <c r="K6" s="10">
        <v>1.0201522038021671</v>
      </c>
      <c r="L6" s="10">
        <v>0.86786885750721343</v>
      </c>
      <c r="N6" s="9"/>
      <c r="O6" s="9"/>
    </row>
    <row r="7" spans="1:15" x14ac:dyDescent="0.35">
      <c r="A7" s="10">
        <v>1.2619653181664903</v>
      </c>
      <c r="B7" s="10">
        <v>0.37834088970874136</v>
      </c>
      <c r="C7" s="10">
        <v>1.2619654183896225</v>
      </c>
      <c r="D7" s="10">
        <v>0.46615895216065301</v>
      </c>
      <c r="E7" s="10">
        <v>1.2619655113305601</v>
      </c>
      <c r="F7" s="10">
        <v>0.55914277926857403</v>
      </c>
      <c r="G7" s="10">
        <v>1.2619655751522543</v>
      </c>
      <c r="H7" s="10">
        <v>0.63146353075607953</v>
      </c>
      <c r="I7" s="10">
        <v>1.2619656323076258</v>
      </c>
      <c r="J7" s="10">
        <v>0.70378427944996713</v>
      </c>
      <c r="K7" s="10">
        <v>1.2468523439928896</v>
      </c>
      <c r="L7" s="10">
        <v>0.78636031120335614</v>
      </c>
      <c r="N7" s="9"/>
      <c r="O7" s="9"/>
    </row>
    <row r="8" spans="1:15" x14ac:dyDescent="0.35">
      <c r="A8" s="10">
        <v>1.4962221584125657</v>
      </c>
      <c r="B8" s="10">
        <v>0.3226993205963411</v>
      </c>
      <c r="C8" s="10">
        <v>1.5037789219744171</v>
      </c>
      <c r="D8" s="10">
        <v>0.40022396769137525</v>
      </c>
      <c r="E8" s="10">
        <v>1.5113356739691284</v>
      </c>
      <c r="F8" s="10">
        <v>0.47774861195449175</v>
      </c>
      <c r="G8" s="10">
        <v>1.5037790724164581</v>
      </c>
      <c r="H8" s="10">
        <v>0.56036277169020465</v>
      </c>
      <c r="I8" s="10">
        <v>1.5037791201564179</v>
      </c>
      <c r="J8" s="10">
        <v>0.62235198294607319</v>
      </c>
      <c r="K8" s="10">
        <v>1.4962225030653427</v>
      </c>
      <c r="L8" s="10">
        <v>0.70496613731828606</v>
      </c>
      <c r="N8" s="9"/>
      <c r="O8" s="9"/>
    </row>
    <row r="9" spans="1:15" x14ac:dyDescent="0.35">
      <c r="A9" s="10">
        <v>1.7153656558812831</v>
      </c>
      <c r="B9" s="10">
        <v>0.27214726463669348</v>
      </c>
      <c r="C9" s="10">
        <v>1.7758191225061803</v>
      </c>
      <c r="D9" s="10">
        <v>0.33444147835120719</v>
      </c>
      <c r="E9" s="10">
        <v>1.7002524740478375</v>
      </c>
      <c r="F9" s="10">
        <v>0.42704405154359087</v>
      </c>
      <c r="G9" s="10">
        <v>1.7682625776745513</v>
      </c>
      <c r="H9" s="10">
        <v>0.4738790814410308</v>
      </c>
      <c r="I9" s="10">
        <v>1.7607059612666458</v>
      </c>
      <c r="J9" s="10">
        <v>0.55132746904384933</v>
      </c>
      <c r="K9" s="10">
        <v>1.7607060005920989</v>
      </c>
      <c r="L9" s="10">
        <v>0.61331667684741775</v>
      </c>
      <c r="N9" s="9"/>
      <c r="O9" s="9"/>
    </row>
    <row r="10" spans="1:15" x14ac:dyDescent="0.35">
      <c r="A10" s="10">
        <v>2.0025192112918395</v>
      </c>
      <c r="B10" s="10">
        <v>0.21160679232340712</v>
      </c>
      <c r="C10" s="10">
        <v>2.0025192886614067</v>
      </c>
      <c r="D10" s="10">
        <v>0.27876177302573307</v>
      </c>
      <c r="E10" s="10">
        <v>2.0100760276180329</v>
      </c>
      <c r="F10" s="10">
        <v>0.34595487662101271</v>
      </c>
      <c r="G10" s="10">
        <v>1.9949627349521104</v>
      </c>
      <c r="H10" s="10">
        <v>0.41303360513769549</v>
      </c>
      <c r="I10" s="10">
        <v>2.0100761269629643</v>
      </c>
      <c r="J10" s="10">
        <v>0.48026482957135286</v>
      </c>
      <c r="K10" s="10">
        <v>2.0025194893463913</v>
      </c>
      <c r="L10" s="10">
        <v>0.54221591205828046</v>
      </c>
      <c r="N10" s="9"/>
      <c r="O10" s="9"/>
    </row>
    <row r="11" spans="1:15" x14ac:dyDescent="0.35">
      <c r="A11" s="10">
        <v>2.267002755949135</v>
      </c>
      <c r="B11" s="10">
        <v>0.16128347733565887</v>
      </c>
      <c r="C11" s="10">
        <v>2.2518894772255891</v>
      </c>
      <c r="D11" s="10">
        <v>0.22319643934906389</v>
      </c>
      <c r="E11" s="10">
        <v>2.2745595549241933</v>
      </c>
      <c r="F11" s="10">
        <v>0.28530002245232883</v>
      </c>
      <c r="G11" s="10">
        <v>2.2518895797535632</v>
      </c>
      <c r="H11" s="10">
        <v>0.34717485782781465</v>
      </c>
      <c r="I11" s="10">
        <v>2.2594462889756644</v>
      </c>
      <c r="J11" s="10">
        <v>0.40920218935561825</v>
      </c>
      <c r="K11" s="10">
        <v>2.2670029857290839</v>
      </c>
      <c r="L11" s="10">
        <v>0.46089798519317426</v>
      </c>
    </row>
    <row r="12" spans="1:15" x14ac:dyDescent="0.35">
      <c r="A12" s="10">
        <v>2.5012596088569858</v>
      </c>
      <c r="B12" s="10">
        <v>0.11597342911625892</v>
      </c>
      <c r="C12" s="10">
        <v>2.5012596650463301</v>
      </c>
      <c r="D12" s="10">
        <v>0.16763110379090887</v>
      </c>
      <c r="E12" s="10">
        <v>2.5088163849121092</v>
      </c>
      <c r="F12" s="10">
        <v>0.2244926693338016</v>
      </c>
      <c r="G12" s="10">
        <v>2.5012597433083159</v>
      </c>
      <c r="H12" s="10">
        <v>0.276112217950992</v>
      </c>
      <c r="I12" s="10">
        <v>2.5012597714324518</v>
      </c>
      <c r="J12" s="10">
        <v>0.33810142439644558</v>
      </c>
      <c r="K12" s="10">
        <v>2.5163731318952336</v>
      </c>
      <c r="L12" s="10">
        <v>0.38983534383638735</v>
      </c>
    </row>
    <row r="13" spans="1:15" x14ac:dyDescent="0.35">
      <c r="A13" s="10">
        <v>2.7581864850575006</v>
      </c>
      <c r="B13" s="10">
        <v>7.0777752327884219E-2</v>
      </c>
      <c r="C13" s="10">
        <v>2.7884132165281121</v>
      </c>
      <c r="D13" s="10">
        <v>0.11225638846157047</v>
      </c>
      <c r="E13" s="10">
        <v>2.7732998968196321</v>
      </c>
      <c r="F13" s="10">
        <v>0.1638378125841197</v>
      </c>
      <c r="G13" s="10">
        <v>2.7732999116421064</v>
      </c>
      <c r="H13" s="10">
        <v>0.21549548459604054</v>
      </c>
      <c r="I13" s="10">
        <v>2.7732999203652038</v>
      </c>
      <c r="J13" s="10">
        <v>0.26715315584899013</v>
      </c>
      <c r="K13" s="10">
        <v>2.7732999258201256</v>
      </c>
      <c r="L13" s="10">
        <v>0.31881082633967173</v>
      </c>
    </row>
    <row r="14" spans="1:15" x14ac:dyDescent="0.35">
      <c r="A14" s="10">
        <v>3.0000000000406901</v>
      </c>
      <c r="B14" s="10">
        <v>3.0671592469468167E-2</v>
      </c>
      <c r="C14" s="10">
        <v>3.0000000001356342</v>
      </c>
      <c r="D14" s="10">
        <v>6.6831963271986372E-2</v>
      </c>
      <c r="E14" s="10">
        <v>3.0000000002577054</v>
      </c>
      <c r="F14" s="10">
        <v>0.11332386808742057</v>
      </c>
      <c r="G14" s="10">
        <v>3.0000000003797762</v>
      </c>
      <c r="H14" s="10">
        <v>0.15981577233492653</v>
      </c>
      <c r="I14" s="10">
        <v>3.0075566692056381</v>
      </c>
      <c r="J14" s="10">
        <v>0.21151156719883052</v>
      </c>
      <c r="K14" s="10">
        <v>3.000000000651045</v>
      </c>
      <c r="L14" s="10">
        <v>0.26313111306408582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4C42A-C404-4CCF-97A2-554AEA65684F}">
  <dimension ref="A1:O14"/>
  <sheetViews>
    <sheetView workbookViewId="0">
      <selection activeCell="E10" sqref="E10"/>
    </sheetView>
  </sheetViews>
  <sheetFormatPr defaultRowHeight="14.5" x14ac:dyDescent="0.35"/>
  <sheetData>
    <row r="1" spans="1:15" x14ac:dyDescent="0.35">
      <c r="A1">
        <v>0.8</v>
      </c>
      <c r="C1">
        <v>1</v>
      </c>
      <c r="E1">
        <v>1.2</v>
      </c>
      <c r="G1">
        <v>1.4</v>
      </c>
      <c r="I1" t="s">
        <v>55</v>
      </c>
      <c r="K1">
        <v>1.8</v>
      </c>
    </row>
    <row r="2" spans="1:15" x14ac:dyDescent="0.35">
      <c r="A2" s="10">
        <v>0.34055606124245508</v>
      </c>
      <c r="B2" s="10">
        <v>0.56672198392259276</v>
      </c>
      <c r="C2" s="10">
        <v>0.32802516200634724</v>
      </c>
      <c r="D2" s="10">
        <v>0.63701962248758126</v>
      </c>
      <c r="E2" s="10">
        <v>0.30283640507613069</v>
      </c>
      <c r="F2" s="10">
        <v>0.63677157653157757</v>
      </c>
      <c r="G2" s="10">
        <v>0.32815211978981862</v>
      </c>
      <c r="H2" s="10">
        <v>0.77786294497520847</v>
      </c>
      <c r="I2" s="10">
        <v>0.31565295908680402</v>
      </c>
      <c r="J2" s="10">
        <v>0.88337141409683129</v>
      </c>
      <c r="K2" s="10">
        <v>0.30309031978400247</v>
      </c>
      <c r="L2" s="10">
        <v>0.91845822180115499</v>
      </c>
      <c r="N2" s="9"/>
      <c r="O2" s="9"/>
    </row>
    <row r="3" spans="1:15" x14ac:dyDescent="0.35">
      <c r="A3" s="10">
        <v>1.0214142279065617</v>
      </c>
      <c r="B3" s="10">
        <v>1.4184787759603661</v>
      </c>
      <c r="C3" s="10">
        <v>1.0088833253371097</v>
      </c>
      <c r="D3" s="10">
        <v>1.4887764218436372</v>
      </c>
      <c r="E3" s="10">
        <v>1.0342942449527648</v>
      </c>
      <c r="F3" s="10">
        <v>1.7355002365257215</v>
      </c>
      <c r="G3" s="10">
        <v>1.0344529308705634</v>
      </c>
      <c r="H3" s="10">
        <v>1.911554374892654</v>
      </c>
      <c r="I3" s="10">
        <v>1.0093276484405043</v>
      </c>
      <c r="J3" s="10">
        <v>1.9817280120288392</v>
      </c>
      <c r="K3" s="10">
        <v>1.0095180688193568</v>
      </c>
      <c r="L3" s="10">
        <v>2.192992977798975</v>
      </c>
      <c r="N3" s="9"/>
      <c r="O3" s="9"/>
    </row>
    <row r="4" spans="1:15" x14ac:dyDescent="0.35">
      <c r="A4" s="10">
        <v>1.5635437586858951</v>
      </c>
      <c r="B4" s="10">
        <v>2.057605881915765</v>
      </c>
      <c r="C4" s="10">
        <v>1.4881679069660643</v>
      </c>
      <c r="D4" s="10">
        <v>2.268126819608439</v>
      </c>
      <c r="E4" s="10">
        <v>1.5135470768245571</v>
      </c>
      <c r="F4" s="10">
        <v>2.4796397664435674</v>
      </c>
      <c r="G4" s="10">
        <v>1.5011748455649194</v>
      </c>
      <c r="H4" s="10">
        <v>2.7259915322625385</v>
      </c>
      <c r="I4" s="10">
        <v>1.5139278973796164</v>
      </c>
      <c r="J4" s="10">
        <v>2.9021696492566673</v>
      </c>
      <c r="K4" s="10">
        <v>1.5140548354619672</v>
      </c>
      <c r="L4" s="10">
        <v>3.0430129417765475</v>
      </c>
      <c r="N4" s="9"/>
      <c r="O4" s="9"/>
    </row>
    <row r="5" spans="1:15" x14ac:dyDescent="0.35">
      <c r="A5" s="10">
        <v>1.9922603705465394</v>
      </c>
      <c r="B5" s="10">
        <v>2.6251949670465522</v>
      </c>
      <c r="C5" s="10">
        <v>1.9799198661374733</v>
      </c>
      <c r="D5" s="10">
        <v>2.9067575325700754</v>
      </c>
      <c r="E5" s="10">
        <v>1.9927998451898101</v>
      </c>
      <c r="F5" s="10">
        <v>3.2237789015809404</v>
      </c>
      <c r="G5" s="10">
        <v>1.993085441327149</v>
      </c>
      <c r="H5" s="10">
        <v>3.5406762702432126</v>
      </c>
      <c r="I5" s="10">
        <v>2.0185280535568291</v>
      </c>
      <c r="J5" s="10">
        <v>3.8226107985648774</v>
      </c>
      <c r="K5" s="10">
        <v>2.0060923364718937</v>
      </c>
      <c r="L5" s="10">
        <v>3.9985408939823812</v>
      </c>
      <c r="N5" s="9"/>
      <c r="O5" s="9"/>
    </row>
    <row r="6" spans="1:15" x14ac:dyDescent="0.35">
      <c r="A6" s="10">
        <v>2.4839805462755891</v>
      </c>
      <c r="B6" s="10">
        <v>3.2286145748378154</v>
      </c>
      <c r="C6" s="10">
        <v>2.4717669496696106</v>
      </c>
      <c r="D6" s="10">
        <v>3.6510203701647224</v>
      </c>
      <c r="E6" s="10">
        <v>2.472052528384665</v>
      </c>
      <c r="F6" s="10">
        <v>3.9679177015103653</v>
      </c>
      <c r="G6" s="10">
        <v>2.5480630048723327</v>
      </c>
      <c r="H6" s="10">
        <v>4.4616130155547369</v>
      </c>
      <c r="I6" s="10">
        <v>2.5104702561851187</v>
      </c>
      <c r="J6" s="10">
        <v>4.6725059291664266</v>
      </c>
      <c r="K6" s="10">
        <v>2.4855353400877824</v>
      </c>
      <c r="L6" s="10">
        <v>4.9539444515464721</v>
      </c>
      <c r="N6" s="9"/>
      <c r="O6" s="9"/>
    </row>
    <row r="7" spans="1:15" x14ac:dyDescent="0.35">
      <c r="A7" s="10">
        <v>3.0009528429905532</v>
      </c>
      <c r="B7" s="10">
        <v>3.9027035433462971</v>
      </c>
      <c r="C7" s="10">
        <v>2.9887392145597644</v>
      </c>
      <c r="D7" s="10">
        <v>4.3251092916398317</v>
      </c>
      <c r="E7" s="10">
        <v>3.0269348036262618</v>
      </c>
      <c r="F7" s="10">
        <v>4.7832217796342151</v>
      </c>
      <c r="G7" s="10">
        <v>3.014752887750261</v>
      </c>
      <c r="H7" s="10">
        <v>5.2408383127597888</v>
      </c>
      <c r="I7" s="10">
        <v>3.0151018856646838</v>
      </c>
      <c r="J7" s="10">
        <v>5.6281572020616997</v>
      </c>
      <c r="K7" s="10">
        <v>3.015355699745462</v>
      </c>
      <c r="L7" s="10">
        <v>5.9098436609269429</v>
      </c>
      <c r="N7" s="9"/>
      <c r="O7" s="9"/>
    </row>
    <row r="8" spans="1:15" x14ac:dyDescent="0.35">
      <c r="A8" s="10">
        <v>3.4548579596232387</v>
      </c>
      <c r="B8" s="10">
        <v>4.4705399767860357</v>
      </c>
      <c r="C8" s="10">
        <v>3.4301133859394821</v>
      </c>
      <c r="D8" s="10">
        <v>4.9632433238978333</v>
      </c>
      <c r="E8" s="10">
        <v>3.4557780218913985</v>
      </c>
      <c r="F8" s="10">
        <v>5.4916533997266299</v>
      </c>
      <c r="G8" s="10">
        <v>3.5949823423215772</v>
      </c>
      <c r="H8" s="10">
        <v>6.2324441352465669</v>
      </c>
      <c r="I8" s="10">
        <v>3.5322642882004143</v>
      </c>
      <c r="J8" s="10">
        <v>6.5135106609985955</v>
      </c>
      <c r="K8" s="10">
        <v>3.4947349759207249</v>
      </c>
      <c r="L8" s="10">
        <v>6.7948251492650691</v>
      </c>
      <c r="N8" s="9"/>
      <c r="O8" s="9"/>
    </row>
    <row r="9" spans="1:15" x14ac:dyDescent="0.35">
      <c r="A9" s="10">
        <v>3.9718617158805709</v>
      </c>
      <c r="B9" s="10">
        <v>5.1798394548634805</v>
      </c>
      <c r="C9" s="10">
        <v>3.9849002315485382</v>
      </c>
      <c r="D9" s="10">
        <v>5.6729147170803405</v>
      </c>
      <c r="E9" s="10">
        <v>4.0106600116583788</v>
      </c>
      <c r="F9" s="10">
        <v>6.3069571678437573</v>
      </c>
      <c r="G9" s="10">
        <v>4.011199325029942</v>
      </c>
      <c r="H9" s="10">
        <v>6.9055408334513846</v>
      </c>
      <c r="I9" s="10">
        <v>4.0116117400499451</v>
      </c>
      <c r="J9" s="10">
        <v>7.3632812748403103</v>
      </c>
      <c r="K9" s="10">
        <v>3.9867402435485957</v>
      </c>
      <c r="L9" s="10">
        <v>7.7151413382331153</v>
      </c>
      <c r="N9" s="9"/>
      <c r="O9" s="9"/>
    </row>
    <row r="10" spans="1:15" x14ac:dyDescent="0.35">
      <c r="A10" s="10">
        <v>4.3627313152489178</v>
      </c>
      <c r="B10" s="10">
        <v>5.6766341964023601</v>
      </c>
      <c r="C10" s="10">
        <v>4.4767785611525666</v>
      </c>
      <c r="D10" s="10">
        <v>6.4523877278569515</v>
      </c>
      <c r="E10" s="10">
        <v>4.4647552237599681</v>
      </c>
      <c r="F10" s="10">
        <v>7.0860582037836561</v>
      </c>
      <c r="G10" s="10">
        <v>4.5409559117792231</v>
      </c>
      <c r="H10" s="10">
        <v>7.7910181462333901</v>
      </c>
      <c r="I10" s="10">
        <v>4.5666522304669979</v>
      </c>
      <c r="J10" s="10">
        <v>8.3546389422656535</v>
      </c>
      <c r="K10" s="10">
        <v>4.3904579709975247</v>
      </c>
      <c r="L10" s="10">
        <v>8.4937464043417545</v>
      </c>
      <c r="N10" s="9"/>
      <c r="O10" s="9"/>
    </row>
    <row r="11" spans="1:15" x14ac:dyDescent="0.35">
      <c r="A11" s="10">
        <v>4.993147652787818</v>
      </c>
      <c r="B11" s="10">
        <v>6.4574709947715236</v>
      </c>
      <c r="C11" s="10">
        <v>5.0064082219893677</v>
      </c>
      <c r="D11" s="10">
        <v>7.1970218359049314</v>
      </c>
      <c r="E11" s="10">
        <v>4.9943848837659717</v>
      </c>
      <c r="F11" s="10">
        <v>7.830692294868272</v>
      </c>
      <c r="G11" s="10">
        <v>4.9950510850618972</v>
      </c>
      <c r="H11" s="10">
        <v>8.5701191335808797</v>
      </c>
      <c r="I11" s="10">
        <v>4.9955586670016503</v>
      </c>
      <c r="J11" s="10">
        <v>9.1334919584364975</v>
      </c>
      <c r="K11" s="10">
        <v>4.9960028011989337</v>
      </c>
      <c r="L11" s="10">
        <v>9.6264431781855819</v>
      </c>
    </row>
    <row r="12" spans="1:15" x14ac:dyDescent="0.3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5" x14ac:dyDescent="0.3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5" x14ac:dyDescent="0.3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Naughton</dc:creator>
  <cp:lastModifiedBy>Patrick Naughton</cp:lastModifiedBy>
  <dcterms:created xsi:type="dcterms:W3CDTF">2021-06-22T04:49:26Z</dcterms:created>
  <dcterms:modified xsi:type="dcterms:W3CDTF">2021-06-22T13:47:23Z</dcterms:modified>
</cp:coreProperties>
</file>