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drawings/drawing21.xml" ContentType="application/vnd.openxmlformats-officedocument.drawing+xml"/>
  <Override PartName="/xl/charts/chart28.xml" ContentType="application/vnd.openxmlformats-officedocument.drawingml.chart+xml"/>
  <Override PartName="/xl/drawings/drawing22.xml" ContentType="application/vnd.openxmlformats-officedocument.drawing+xml"/>
  <Override PartName="/xl/charts/chart29.xml" ContentType="application/vnd.openxmlformats-officedocument.drawingml.chart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4.xml" ContentType="application/vnd.openxmlformats-officedocument.drawing+xml"/>
  <Override PartName="/xl/charts/chart33.xml" ContentType="application/vnd.openxmlformats-officedocument.drawingml.chart+xml"/>
  <Override PartName="/xl/drawings/drawing25.xml" ContentType="application/vnd.openxmlformats-officedocument.drawing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5480" windowHeight="9885" firstSheet="3" activeTab="7"/>
  </bookViews>
  <sheets>
    <sheet name="Cover Sheet" sheetId="4" r:id="rId1"/>
    <sheet name="Rev Sheet" sheetId="39" r:id="rId2"/>
    <sheet name="Ref Sheet" sheetId="40" r:id="rId3"/>
    <sheet name="Notes &amp; Instr" sheetId="41" r:id="rId4"/>
    <sheet name="Inputs" sheetId="35" r:id="rId5"/>
    <sheet name="Profile" sheetId="24" r:id="rId6"/>
    <sheet name="Cp" sheetId="19" r:id="rId7"/>
    <sheet name="Cwl" sheetId="28" r:id="rId8"/>
    <sheet name="CWD" sheetId="29" r:id="rId9"/>
    <sheet name="CMUpr" sheetId="34" r:id="rId10"/>
    <sheet name="Sections" sheetId="36" r:id="rId11"/>
    <sheet name="Bulkheads" sheetId="46" r:id="rId12"/>
    <sheet name="Decks" sheetId="57" r:id="rId13"/>
    <sheet name="SK Check" sheetId="51" r:id="rId14"/>
    <sheet name="Profile 1" sheetId="10" r:id="rId15"/>
    <sheet name="Profile 2" sheetId="9" r:id="rId16"/>
    <sheet name="Cm" sheetId="13" r:id="rId17"/>
    <sheet name="Transom" sheetId="11" r:id="rId18"/>
    <sheet name="Cp Plot" sheetId="12" r:id="rId19"/>
    <sheet name="Upr Hull" sheetId="14" r:id="rId20"/>
    <sheet name="Body Plan" sheetId="17" r:id="rId21"/>
    <sheet name="Enclosed Volume" sheetId="44" r:id="rId22"/>
    <sheet name="Deck Plots" sheetId="45" r:id="rId23"/>
    <sheet name="Fbd Check" sheetId="48" r:id="rId24"/>
    <sheet name="Profile Calcs" sheetId="2" r:id="rId25"/>
    <sheet name="Cp Calcs" sheetId="26" r:id="rId26"/>
    <sheet name="Cp Ref Calcs" sheetId="25" r:id="rId27"/>
    <sheet name="Cwl Opt1 Calcs" sheetId="20" r:id="rId28"/>
    <sheet name="Cwl Opt2 Calcs" sheetId="27" r:id="rId29"/>
    <sheet name="Cwl Opt3 Calcs" sheetId="53" r:id="rId30"/>
    <sheet name="CWD Opt1 Calcs" sheetId="30" r:id="rId31"/>
    <sheet name="CWD Opt2 Calcs" sheetId="31" r:id="rId32"/>
    <sheet name="CWD Opt3 Calcs" sheetId="54" r:id="rId33"/>
    <sheet name="Mid Upr WL Opt1 Calcs" sheetId="33" r:id="rId34"/>
    <sheet name="Mid Upr WL Opt2 Calcs" sheetId="32" r:id="rId35"/>
    <sheet name="Cxx Selected" sheetId="56" r:id="rId36"/>
    <sheet name="Section Calcs" sheetId="18" r:id="rId37"/>
    <sheet name="BHD Calcs" sheetId="47" r:id="rId38"/>
    <sheet name="Decks Calcs" sheetId="58" r:id="rId39"/>
    <sheet name="Post-MNVDET Hull 03c1" sheetId="59" r:id="rId40"/>
    <sheet name="C" sheetId="37" r:id="rId41"/>
    <sheet name="Deadrise" sheetId="38" r:id="rId42"/>
    <sheet name="Offset Data" sheetId="42" r:id="rId43"/>
    <sheet name="Fbd Calcs" sheetId="49" r:id="rId44"/>
    <sheet name="Xfer Data to Vol" sheetId="50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MCF1" localSheetId="39">#REF!</definedName>
    <definedName name="_MCF1">#REF!</definedName>
    <definedName name="_MCF2" localSheetId="39">#REF!</definedName>
    <definedName name="_MCF2">#REF!</definedName>
    <definedName name="_MSF1" localSheetId="39">#REF!</definedName>
    <definedName name="_MSF1">#REF!</definedName>
    <definedName name="_MSF2" localSheetId="39">#REF!</definedName>
    <definedName name="_MSF2">#REF!</definedName>
    <definedName name="_OCF1" localSheetId="39">#REF!</definedName>
    <definedName name="_OCF1">#REF!</definedName>
    <definedName name="_OCF2" localSheetId="39">#REF!</definedName>
    <definedName name="_OCF2">#REF!</definedName>
    <definedName name="anscount" hidden="1">1</definedName>
    <definedName name="ASCF" localSheetId="39">#REF!</definedName>
    <definedName name="ASCF">#REF!</definedName>
    <definedName name="ASFCM" localSheetId="39">#REF!</definedName>
    <definedName name="ASFCM">#REF!</definedName>
    <definedName name="ASFCO" localSheetId="39">#REF!</definedName>
    <definedName name="ASFCO">#REF!</definedName>
    <definedName name="BSDDF" localSheetId="39">#REF!</definedName>
    <definedName name="BSDDF">#REF!</definedName>
    <definedName name="BSTEF" localSheetId="39">#REF!</definedName>
    <definedName name="BSTEF">#REF!</definedName>
    <definedName name="CAVG" localSheetId="39">#REF!</definedName>
    <definedName name="CAVG">#REF!</definedName>
    <definedName name="CFA" localSheetId="39">#REF!</definedName>
    <definedName name="CFA">#REF!</definedName>
    <definedName name="CFE" localSheetId="39">#REF!</definedName>
    <definedName name="CFE">#REF!</definedName>
    <definedName name="CFEND" localSheetId="39">#REF!</definedName>
    <definedName name="CFEND">#REF!</definedName>
    <definedName name="CFO" localSheetId="39">#REF!</definedName>
    <definedName name="CFO">#REF!</definedName>
    <definedName name="CFSB" localSheetId="39">#REF!</definedName>
    <definedName name="CFSB">#REF!</definedName>
    <definedName name="CFUEL" localSheetId="39">#REF!</definedName>
    <definedName name="CFUEL">#REF!</definedName>
    <definedName name="CISS" localSheetId="39">#REF!</definedName>
    <definedName name="CISS">#REF!</definedName>
    <definedName name="CLMPG" localSheetId="39">#REF!</definedName>
    <definedName name="CLMPG">#REF!</definedName>
    <definedName name="comboutfac">'[1]CombOutFac(COF)'!$B$6:$CD$62</definedName>
    <definedName name="CSPE" localSheetId="39">#REF!</definedName>
    <definedName name="CSPE">#REF!</definedName>
    <definedName name="Data" localSheetId="25">'Cp Calcs'!$A$3:$E$7</definedName>
    <definedName name="Data" localSheetId="30">'CWD Opt1 Calcs'!$A$13:$E$17</definedName>
    <definedName name="Data" localSheetId="31">'CWD Opt2 Calcs'!$A$6:$E$10</definedName>
    <definedName name="Data" localSheetId="32">'CWD Opt3 Calcs'!$A$11:$E$15</definedName>
    <definedName name="Data" localSheetId="27">'Cwl Opt1 Calcs'!$A$11:$E$15</definedName>
    <definedName name="Data" localSheetId="28">'Cwl Opt2 Calcs'!$A$6:$E$10</definedName>
    <definedName name="Data" localSheetId="29">'Cwl Opt3 Calcs'!$A$18:$E$22</definedName>
    <definedName name="Data" localSheetId="12">'[2]Cp Ref Calcs'!$A$2:$E$6</definedName>
    <definedName name="Data" localSheetId="38">'[3]Cp Ref Calcs'!$A$2:$E$6</definedName>
    <definedName name="Data" localSheetId="33">'Mid Upr WL Opt1 Calcs'!$A$11:$E$15</definedName>
    <definedName name="Data" localSheetId="34">'Mid Upr WL Opt2 Calcs'!$A$6:$E$10</definedName>
    <definedName name="Data" localSheetId="39">'[4]Cp Ref Calcs'!$A$2:$E$6</definedName>
    <definedName name="Data">'Cp Ref Calcs'!$A$2:$E$6</definedName>
    <definedName name="Data01" localSheetId="32">#REF!</definedName>
    <definedName name="Data01" localSheetId="29">#REF!</definedName>
    <definedName name="Data01" localSheetId="12">#REF!</definedName>
    <definedName name="Data01" localSheetId="38">#REF!</definedName>
    <definedName name="Data01" localSheetId="39">#REF!</definedName>
    <definedName name="Data01">#REF!</definedName>
    <definedName name="Data02" localSheetId="32">#REF!</definedName>
    <definedName name="Data02" localSheetId="29">#REF!</definedName>
    <definedName name="Data02" localSheetId="12">#REF!</definedName>
    <definedName name="Data02" localSheetId="38">#REF!</definedName>
    <definedName name="Data02" localSheetId="39">#REF!</definedName>
    <definedName name="Data02">#REF!</definedName>
    <definedName name="Data2" localSheetId="32">#REF!</definedName>
    <definedName name="Data2" localSheetId="29">#REF!</definedName>
    <definedName name="Data2" localSheetId="12">#REF!</definedName>
    <definedName name="Data2" localSheetId="38">#REF!</definedName>
    <definedName name="Data2" localSheetId="39">#REF!</definedName>
    <definedName name="Data2">#REF!</definedName>
    <definedName name="Data3" localSheetId="32">#REF!</definedName>
    <definedName name="Data3" localSheetId="29">#REF!</definedName>
    <definedName name="Data3" localSheetId="12">#REF!</definedName>
    <definedName name="Data3" localSheetId="38">#REF!</definedName>
    <definedName name="Data3" localSheetId="39">#REF!</definedName>
    <definedName name="Data3">#REF!</definedName>
    <definedName name="FCMPG" localSheetId="39">#REF!</definedName>
    <definedName name="FCMPG">#REF!</definedName>
    <definedName name="FCONV" localSheetId="39">#REF!</definedName>
    <definedName name="FCONV">#REF!</definedName>
    <definedName name="FRATE" localSheetId="39">#REF!</definedName>
    <definedName name="FRATE">#REF!</definedName>
    <definedName name="H" localSheetId="39">#REF!</definedName>
    <definedName name="H">#REF!</definedName>
    <definedName name="index1970">'[1]1970=1 Infl Index'!$B$6:$CD$62</definedName>
    <definedName name="LT2MT" localSheetId="38">[5]LtShip!$AQ$9</definedName>
    <definedName name="LT2MT">[6]LtShip!$AQ$9</definedName>
    <definedName name="MHCF" localSheetId="39">#REF!</definedName>
    <definedName name="MHCF">#REF!</definedName>
    <definedName name="MPGCF" localSheetId="39">#REF!</definedName>
    <definedName name="MPGCF">#REF!</definedName>
    <definedName name="MPSDDF" localSheetId="39">#REF!</definedName>
    <definedName name="MPSDDF">#REF!</definedName>
    <definedName name="MPSTEF" localSheetId="39">#REF!</definedName>
    <definedName name="MPSTEF">#REF!</definedName>
    <definedName name="MSOHF" localSheetId="39">#REF!</definedName>
    <definedName name="MSOHF">#REF!</definedName>
    <definedName name="NewDataX">'[7]Alt Cp'!$A$15:$G$21</definedName>
    <definedName name="NewDataY">'[7]Alt Cp'!$A$15:$G$21</definedName>
    <definedName name="OHCF" localSheetId="39">#REF!</definedName>
    <definedName name="OHCF">#REF!</definedName>
    <definedName name="_xlnm.Print_Area" localSheetId="38">[8]A!$A$1:$X$17</definedName>
    <definedName name="_xlnm.Print_Area">[9]A!$A$1:$X$17</definedName>
    <definedName name="PRINT_AREA_MI" localSheetId="38">[8]A!$A$1:$X$17</definedName>
    <definedName name="PRINT_AREA_MI">[9]A!$A$1:$X$17</definedName>
    <definedName name="RVCF" localSheetId="39">#REF!</definedName>
    <definedName name="RVCF">#REF!</definedName>
    <definedName name="SDDF" localSheetId="39">#REF!</definedName>
    <definedName name="SDDF">#REF!</definedName>
    <definedName name="STEF" localSheetId="39">#REF!</definedName>
    <definedName name="STEF">#REF!</definedName>
    <definedName name="TABLE" localSheetId="0">'Cover Sheet'!$B$23:$B$23</definedName>
    <definedName name="TADF" localSheetId="39">#REF!</definedName>
    <definedName name="TADF">#REF!</definedName>
    <definedName name="WMP" localSheetId="39">#REF!</definedName>
    <definedName name="WMP">#REF!</definedName>
  </definedNames>
  <calcPr calcId="145621"/>
</workbook>
</file>

<file path=xl/calcChain.xml><?xml version="1.0" encoding="utf-8"?>
<calcChain xmlns="http://schemas.openxmlformats.org/spreadsheetml/2006/main">
  <c r="B5" i="35" l="1"/>
  <c r="B6" i="35" l="1"/>
  <c r="C6" i="35"/>
  <c r="B3" i="35"/>
  <c r="L41" i="34" l="1"/>
  <c r="X3" i="19"/>
  <c r="X4" i="19"/>
  <c r="X5" i="19"/>
  <c r="X6" i="19"/>
  <c r="X7" i="19"/>
  <c r="X8" i="19"/>
  <c r="X9" i="19"/>
  <c r="X10" i="19"/>
  <c r="X11" i="19"/>
  <c r="X12" i="19"/>
  <c r="X13" i="19"/>
  <c r="X14" i="19"/>
  <c r="X15" i="19"/>
  <c r="X16" i="19"/>
  <c r="X17" i="19"/>
  <c r="X18" i="19"/>
  <c r="X19" i="19"/>
  <c r="X20" i="19"/>
  <c r="X21" i="19"/>
  <c r="X22" i="19"/>
  <c r="X23" i="19"/>
  <c r="X2" i="19"/>
  <c r="B4" i="35"/>
  <c r="C5" i="54" l="1"/>
  <c r="J12" i="54" l="1"/>
  <c r="J11" i="54"/>
  <c r="W2" i="29"/>
  <c r="V2" i="29"/>
  <c r="X1" i="29"/>
  <c r="Y1" i="29"/>
  <c r="Z1" i="29"/>
  <c r="AA1" i="29"/>
  <c r="V3" i="29"/>
  <c r="W3" i="29"/>
  <c r="V4" i="29"/>
  <c r="W4" i="29"/>
  <c r="V5" i="29"/>
  <c r="W5" i="29"/>
  <c r="V6" i="29"/>
  <c r="W6" i="29"/>
  <c r="V7" i="29"/>
  <c r="W7" i="29"/>
  <c r="V8" i="29"/>
  <c r="W8" i="29"/>
  <c r="V9" i="29"/>
  <c r="W9" i="29"/>
  <c r="V10" i="29"/>
  <c r="W10" i="29"/>
  <c r="V11" i="29"/>
  <c r="W11" i="29"/>
  <c r="V12" i="29"/>
  <c r="W12" i="29"/>
  <c r="V13" i="29"/>
  <c r="W13" i="29"/>
  <c r="V14" i="29"/>
  <c r="W14" i="29"/>
  <c r="V15" i="29"/>
  <c r="W15" i="29"/>
  <c r="V16" i="29"/>
  <c r="W16" i="29"/>
  <c r="V17" i="29"/>
  <c r="W17" i="29"/>
  <c r="V18" i="29"/>
  <c r="W18" i="29"/>
  <c r="V19" i="29"/>
  <c r="W19" i="29"/>
  <c r="V20" i="29"/>
  <c r="W20" i="29"/>
  <c r="V21" i="29"/>
  <c r="W21" i="29"/>
  <c r="V22" i="29"/>
  <c r="W22" i="29"/>
  <c r="G78" i="56" l="1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77" i="56"/>
  <c r="C423" i="59" l="1"/>
  <c r="C422" i="59"/>
  <c r="B417" i="59"/>
  <c r="D401" i="59"/>
  <c r="B400" i="59"/>
  <c r="B399" i="59"/>
  <c r="B398" i="59"/>
  <c r="B837" i="59" s="1"/>
  <c r="B397" i="59"/>
  <c r="B396" i="59"/>
  <c r="B395" i="59"/>
  <c r="B394" i="59"/>
  <c r="B393" i="59"/>
  <c r="B392" i="59"/>
  <c r="B391" i="59"/>
  <c r="B390" i="59"/>
  <c r="B389" i="59"/>
  <c r="B388" i="59"/>
  <c r="B387" i="59"/>
  <c r="B386" i="59"/>
  <c r="B385" i="59"/>
  <c r="B384" i="59"/>
  <c r="B383" i="59"/>
  <c r="B382" i="59"/>
  <c r="B381" i="59"/>
  <c r="B380" i="59"/>
  <c r="B379" i="59"/>
  <c r="B378" i="59"/>
  <c r="B377" i="59"/>
  <c r="B816" i="59" s="1"/>
  <c r="B376" i="59"/>
  <c r="B375" i="59"/>
  <c r="B374" i="59"/>
  <c r="B373" i="59"/>
  <c r="B372" i="59"/>
  <c r="B371" i="59"/>
  <c r="B370" i="59"/>
  <c r="B369" i="59"/>
  <c r="B368" i="59"/>
  <c r="B367" i="59"/>
  <c r="B366" i="59"/>
  <c r="B365" i="59"/>
  <c r="B364" i="59"/>
  <c r="B363" i="59"/>
  <c r="B362" i="59"/>
  <c r="B361" i="59"/>
  <c r="B360" i="59"/>
  <c r="B359" i="59"/>
  <c r="B358" i="59"/>
  <c r="B357" i="59"/>
  <c r="B356" i="59"/>
  <c r="B355" i="59"/>
  <c r="B354" i="59"/>
  <c r="B353" i="59"/>
  <c r="B352" i="59"/>
  <c r="B351" i="59"/>
  <c r="B350" i="59"/>
  <c r="B349" i="59"/>
  <c r="B348" i="59"/>
  <c r="B347" i="59"/>
  <c r="B346" i="59"/>
  <c r="B345" i="59"/>
  <c r="B344" i="59"/>
  <c r="B343" i="59"/>
  <c r="B342" i="59"/>
  <c r="B341" i="59"/>
  <c r="B340" i="59"/>
  <c r="B339" i="59"/>
  <c r="B338" i="59"/>
  <c r="B337" i="59"/>
  <c r="B336" i="59"/>
  <c r="B335" i="59"/>
  <c r="B334" i="59"/>
  <c r="B333" i="59"/>
  <c r="B332" i="59"/>
  <c r="B331" i="59"/>
  <c r="B330" i="59"/>
  <c r="B329" i="59"/>
  <c r="B328" i="59"/>
  <c r="B327" i="59"/>
  <c r="B326" i="59"/>
  <c r="B325" i="59"/>
  <c r="B324" i="59"/>
  <c r="B323" i="59"/>
  <c r="B322" i="59"/>
  <c r="B321" i="59"/>
  <c r="B320" i="59"/>
  <c r="B319" i="59"/>
  <c r="B318" i="59"/>
  <c r="B757" i="59" s="1"/>
  <c r="B317" i="59"/>
  <c r="B316" i="59"/>
  <c r="B315" i="59"/>
  <c r="B314" i="59"/>
  <c r="B313" i="59"/>
  <c r="B312" i="59"/>
  <c r="B311" i="59"/>
  <c r="B310" i="59"/>
  <c r="B309" i="59"/>
  <c r="B308" i="59"/>
  <c r="B307" i="59"/>
  <c r="B306" i="59"/>
  <c r="B305" i="59"/>
  <c r="B304" i="59"/>
  <c r="B303" i="59"/>
  <c r="B302" i="59"/>
  <c r="B301" i="59"/>
  <c r="B300" i="59"/>
  <c r="B299" i="59"/>
  <c r="B298" i="59"/>
  <c r="B297" i="59"/>
  <c r="B736" i="59" s="1"/>
  <c r="B296" i="59"/>
  <c r="B295" i="59"/>
  <c r="B294" i="59"/>
  <c r="B293" i="59"/>
  <c r="B292" i="59"/>
  <c r="B291" i="59"/>
  <c r="B290" i="59"/>
  <c r="B289" i="59"/>
  <c r="B288" i="59"/>
  <c r="B287" i="59"/>
  <c r="B286" i="59"/>
  <c r="B285" i="59"/>
  <c r="B284" i="59"/>
  <c r="B283" i="59"/>
  <c r="B282" i="59"/>
  <c r="B281" i="59"/>
  <c r="B280" i="59"/>
  <c r="B279" i="59"/>
  <c r="B278" i="59"/>
  <c r="B277" i="59"/>
  <c r="B276" i="59"/>
  <c r="B275" i="59"/>
  <c r="B274" i="59"/>
  <c r="B273" i="59"/>
  <c r="B272" i="59"/>
  <c r="B271" i="59"/>
  <c r="B270" i="59"/>
  <c r="B269" i="59"/>
  <c r="B268" i="59"/>
  <c r="B267" i="59"/>
  <c r="B266" i="59"/>
  <c r="B265" i="59"/>
  <c r="B264" i="59"/>
  <c r="B263" i="59"/>
  <c r="B262" i="59"/>
  <c r="B261" i="59"/>
  <c r="B260" i="59"/>
  <c r="B259" i="59"/>
  <c r="B258" i="59"/>
  <c r="B257" i="59"/>
  <c r="B256" i="59"/>
  <c r="B255" i="59"/>
  <c r="B254" i="59"/>
  <c r="B253" i="59"/>
  <c r="B252" i="59"/>
  <c r="B251" i="59"/>
  <c r="B250" i="59"/>
  <c r="B249" i="59"/>
  <c r="B248" i="59"/>
  <c r="B247" i="59"/>
  <c r="B246" i="59"/>
  <c r="B245" i="59"/>
  <c r="B244" i="59"/>
  <c r="B243" i="59"/>
  <c r="B242" i="59"/>
  <c r="B241" i="59"/>
  <c r="B240" i="59"/>
  <c r="B239" i="59"/>
  <c r="B238" i="59"/>
  <c r="B677" i="59" s="1"/>
  <c r="B237" i="59"/>
  <c r="B236" i="59"/>
  <c r="B235" i="59"/>
  <c r="B234" i="59"/>
  <c r="B233" i="59"/>
  <c r="B232" i="59"/>
  <c r="B231" i="59"/>
  <c r="B230" i="59"/>
  <c r="B229" i="59"/>
  <c r="B228" i="59"/>
  <c r="B227" i="59"/>
  <c r="B226" i="59"/>
  <c r="B225" i="59"/>
  <c r="B224" i="59"/>
  <c r="B223" i="59"/>
  <c r="B222" i="59"/>
  <c r="B221" i="59"/>
  <c r="B220" i="59"/>
  <c r="B219" i="59"/>
  <c r="B218" i="59"/>
  <c r="B217" i="59"/>
  <c r="B656" i="59" s="1"/>
  <c r="B216" i="59"/>
  <c r="B215" i="59"/>
  <c r="B214" i="59"/>
  <c r="B213" i="59"/>
  <c r="B212" i="59"/>
  <c r="B211" i="59"/>
  <c r="B210" i="59"/>
  <c r="B209" i="59"/>
  <c r="B208" i="59"/>
  <c r="B207" i="59"/>
  <c r="B206" i="59"/>
  <c r="B205" i="59"/>
  <c r="B204" i="59"/>
  <c r="B203" i="59"/>
  <c r="B202" i="59"/>
  <c r="B201" i="59"/>
  <c r="B200" i="59"/>
  <c r="B199" i="59"/>
  <c r="B198" i="59"/>
  <c r="B197" i="59"/>
  <c r="B196" i="59"/>
  <c r="B195" i="59"/>
  <c r="B194" i="59"/>
  <c r="B193" i="59"/>
  <c r="B192" i="59"/>
  <c r="B191" i="59"/>
  <c r="B190" i="59"/>
  <c r="B189" i="59"/>
  <c r="B188" i="59"/>
  <c r="B187" i="59"/>
  <c r="B186" i="59"/>
  <c r="B185" i="59"/>
  <c r="B184" i="59"/>
  <c r="B183" i="59"/>
  <c r="B182" i="59"/>
  <c r="B181" i="59"/>
  <c r="B180" i="59"/>
  <c r="B179" i="59"/>
  <c r="B178" i="59"/>
  <c r="B177" i="59"/>
  <c r="B176" i="59"/>
  <c r="B175" i="59"/>
  <c r="B174" i="59"/>
  <c r="B173" i="59"/>
  <c r="B172" i="59"/>
  <c r="B171" i="59"/>
  <c r="B170" i="59"/>
  <c r="B169" i="59"/>
  <c r="B168" i="59"/>
  <c r="B167" i="59"/>
  <c r="B166" i="59"/>
  <c r="B165" i="59"/>
  <c r="B164" i="59"/>
  <c r="B163" i="59"/>
  <c r="B162" i="59"/>
  <c r="B161" i="59"/>
  <c r="B160" i="59"/>
  <c r="B159" i="59"/>
  <c r="B158" i="59"/>
  <c r="B597" i="59" s="1"/>
  <c r="B157" i="59"/>
  <c r="B156" i="59"/>
  <c r="B155" i="59"/>
  <c r="B154" i="59"/>
  <c r="B153" i="59"/>
  <c r="B152" i="59"/>
  <c r="B151" i="59"/>
  <c r="B150" i="59"/>
  <c r="B149" i="59"/>
  <c r="B148" i="59"/>
  <c r="B147" i="59"/>
  <c r="B146" i="59"/>
  <c r="B145" i="59"/>
  <c r="B144" i="59"/>
  <c r="B143" i="59"/>
  <c r="B142" i="59"/>
  <c r="B141" i="59"/>
  <c r="B140" i="59"/>
  <c r="B139" i="59"/>
  <c r="B138" i="59"/>
  <c r="B137" i="59"/>
  <c r="B576" i="59" s="1"/>
  <c r="B136" i="59"/>
  <c r="B135" i="59"/>
  <c r="B134" i="59"/>
  <c r="B133" i="59"/>
  <c r="B132" i="59"/>
  <c r="B131" i="59"/>
  <c r="B130" i="59"/>
  <c r="B129" i="59"/>
  <c r="B128" i="59"/>
  <c r="B127" i="59"/>
  <c r="B126" i="59"/>
  <c r="B125" i="59"/>
  <c r="B124" i="59"/>
  <c r="B123" i="59"/>
  <c r="B122" i="59"/>
  <c r="B121" i="59"/>
  <c r="B120" i="59"/>
  <c r="B119" i="59"/>
  <c r="B118" i="59"/>
  <c r="B557" i="59" s="1"/>
  <c r="B117" i="59"/>
  <c r="B116" i="59"/>
  <c r="B555" i="59" s="1"/>
  <c r="B115" i="59"/>
  <c r="B114" i="59"/>
  <c r="B113" i="59"/>
  <c r="B112" i="59"/>
  <c r="B111" i="59"/>
  <c r="B110" i="59"/>
  <c r="B549" i="59" s="1"/>
  <c r="B109" i="59"/>
  <c r="B108" i="59"/>
  <c r="B547" i="59" s="1"/>
  <c r="B107" i="59"/>
  <c r="B106" i="59"/>
  <c r="B105" i="59"/>
  <c r="B104" i="59"/>
  <c r="B103" i="59"/>
  <c r="B102" i="59"/>
  <c r="B541" i="59" s="1"/>
  <c r="B101" i="59"/>
  <c r="B100" i="59"/>
  <c r="B539" i="59" s="1"/>
  <c r="B99" i="59"/>
  <c r="B98" i="59"/>
  <c r="B97" i="59"/>
  <c r="B96" i="59"/>
  <c r="B95" i="59"/>
  <c r="B94" i="59"/>
  <c r="B533" i="59" s="1"/>
  <c r="B93" i="59"/>
  <c r="B92" i="59"/>
  <c r="B531" i="59" s="1"/>
  <c r="B91" i="59"/>
  <c r="B90" i="59"/>
  <c r="B89" i="59"/>
  <c r="B88" i="59"/>
  <c r="B87" i="59"/>
  <c r="B86" i="59"/>
  <c r="B525" i="59" s="1"/>
  <c r="B85" i="59"/>
  <c r="B84" i="59"/>
  <c r="B523" i="59" s="1"/>
  <c r="B83" i="59"/>
  <c r="B82" i="59"/>
  <c r="B81" i="59"/>
  <c r="B80" i="59"/>
  <c r="B79" i="59"/>
  <c r="B78" i="59"/>
  <c r="B517" i="59" s="1"/>
  <c r="B77" i="59"/>
  <c r="B76" i="59"/>
  <c r="B75" i="59"/>
  <c r="B74" i="59"/>
  <c r="B513" i="59" s="1"/>
  <c r="B73" i="59"/>
  <c r="B72" i="59"/>
  <c r="B511" i="59" s="1"/>
  <c r="B71" i="59"/>
  <c r="B510" i="59" s="1"/>
  <c r="B70" i="59"/>
  <c r="B69" i="59"/>
  <c r="B68" i="59"/>
  <c r="B67" i="59"/>
  <c r="B66" i="59"/>
  <c r="B505" i="59" s="1"/>
  <c r="B65" i="59"/>
  <c r="B64" i="59"/>
  <c r="B503" i="59" s="1"/>
  <c r="B63" i="59"/>
  <c r="B502" i="59" s="1"/>
  <c r="B62" i="59"/>
  <c r="B61" i="59"/>
  <c r="B60" i="59"/>
  <c r="B59" i="59"/>
  <c r="B58" i="59"/>
  <c r="B497" i="59" s="1"/>
  <c r="B57" i="59"/>
  <c r="B496" i="59" s="1"/>
  <c r="B56" i="59"/>
  <c r="B495" i="59" s="1"/>
  <c r="B55" i="59"/>
  <c r="B494" i="59" s="1"/>
  <c r="B54" i="59"/>
  <c r="B493" i="59" s="1"/>
  <c r="B53" i="59"/>
  <c r="B52" i="59"/>
  <c r="B491" i="59" s="1"/>
  <c r="B51" i="59"/>
  <c r="B50" i="59"/>
  <c r="B489" i="59" s="1"/>
  <c r="B49" i="59"/>
  <c r="B48" i="59"/>
  <c r="B487" i="59" s="1"/>
  <c r="B47" i="59"/>
  <c r="B486" i="59" s="1"/>
  <c r="B46" i="59"/>
  <c r="B485" i="59" s="1"/>
  <c r="B45" i="59"/>
  <c r="B44" i="59"/>
  <c r="B483" i="59" s="1"/>
  <c r="B43" i="59"/>
  <c r="B42" i="59"/>
  <c r="B481" i="59" s="1"/>
  <c r="B41" i="59"/>
  <c r="B40" i="59"/>
  <c r="B479" i="59" s="1"/>
  <c r="B39" i="59"/>
  <c r="B478" i="59" s="1"/>
  <c r="B38" i="59"/>
  <c r="B477" i="59" s="1"/>
  <c r="B37" i="59"/>
  <c r="B36" i="59"/>
  <c r="B475" i="59" s="1"/>
  <c r="B35" i="59"/>
  <c r="B34" i="59"/>
  <c r="B473" i="59" s="1"/>
  <c r="B33" i="59"/>
  <c r="B32" i="59"/>
  <c r="B471" i="59" s="1"/>
  <c r="B31" i="59"/>
  <c r="B470" i="59" s="1"/>
  <c r="B30" i="59"/>
  <c r="B469" i="59" s="1"/>
  <c r="B29" i="59"/>
  <c r="B28" i="59"/>
  <c r="B467" i="59" s="1"/>
  <c r="B27" i="59"/>
  <c r="B26" i="59"/>
  <c r="B465" i="59" s="1"/>
  <c r="B25" i="59"/>
  <c r="B24" i="59"/>
  <c r="B463" i="59" s="1"/>
  <c r="B23" i="59"/>
  <c r="B462" i="59" s="1"/>
  <c r="B22" i="59"/>
  <c r="B461" i="59" s="1"/>
  <c r="B21" i="59"/>
  <c r="B20" i="59"/>
  <c r="B459" i="59" s="1"/>
  <c r="B19" i="59"/>
  <c r="B18" i="59"/>
  <c r="B457" i="59" s="1"/>
  <c r="B17" i="59"/>
  <c r="B16" i="59"/>
  <c r="B455" i="59" s="1"/>
  <c r="B15" i="59"/>
  <c r="B454" i="59" s="1"/>
  <c r="B14" i="59"/>
  <c r="B453" i="59" s="1"/>
  <c r="B13" i="59"/>
  <c r="B12" i="59"/>
  <c r="B451" i="59" s="1"/>
  <c r="B11" i="59"/>
  <c r="B450" i="59" s="1"/>
  <c r="B10" i="59"/>
  <c r="B9" i="59"/>
  <c r="B8" i="59"/>
  <c r="B447" i="59" s="1"/>
  <c r="B7" i="59"/>
  <c r="B446" i="59" s="1"/>
  <c r="B6" i="59"/>
  <c r="B445" i="59" s="1"/>
  <c r="B5" i="59"/>
  <c r="B4" i="59"/>
  <c r="B443" i="59" s="1"/>
  <c r="B3" i="59"/>
  <c r="B442" i="59" s="1"/>
  <c r="B2" i="59"/>
  <c r="B441" i="59" s="1"/>
  <c r="B1" i="59"/>
  <c r="D847" i="59"/>
  <c r="B847" i="59"/>
  <c r="C846" i="59"/>
  <c r="D846" i="59" s="1"/>
  <c r="B846" i="59"/>
  <c r="D845" i="59"/>
  <c r="C845" i="59"/>
  <c r="B844" i="59"/>
  <c r="B843" i="59"/>
  <c r="B842" i="59"/>
  <c r="B841" i="59"/>
  <c r="D840" i="59"/>
  <c r="B840" i="59"/>
  <c r="B838" i="59"/>
  <c r="B834" i="59"/>
  <c r="B830" i="59"/>
  <c r="B826" i="59"/>
  <c r="B822" i="59"/>
  <c r="B818" i="59"/>
  <c r="B814" i="59"/>
  <c r="B810" i="59"/>
  <c r="B806" i="59"/>
  <c r="B802" i="59"/>
  <c r="B798" i="59"/>
  <c r="B794" i="59"/>
  <c r="B790" i="59"/>
  <c r="B786" i="59"/>
  <c r="B782" i="59"/>
  <c r="B778" i="59"/>
  <c r="B774" i="59"/>
  <c r="B770" i="59"/>
  <c r="B766" i="59"/>
  <c r="B762" i="59"/>
  <c r="B758" i="59"/>
  <c r="B754" i="59"/>
  <c r="B750" i="59"/>
  <c r="B746" i="59"/>
  <c r="B742" i="59"/>
  <c r="B738" i="59"/>
  <c r="B734" i="59"/>
  <c r="B730" i="59"/>
  <c r="B726" i="59"/>
  <c r="B722" i="59"/>
  <c r="B718" i="59"/>
  <c r="B714" i="59"/>
  <c r="B710" i="59"/>
  <c r="B706" i="59"/>
  <c r="B702" i="59"/>
  <c r="B698" i="59"/>
  <c r="B694" i="59"/>
  <c r="B690" i="59"/>
  <c r="B686" i="59"/>
  <c r="B682" i="59"/>
  <c r="B678" i="59"/>
  <c r="B674" i="59"/>
  <c r="B670" i="59"/>
  <c r="B666" i="59"/>
  <c r="B662" i="59"/>
  <c r="B658" i="59"/>
  <c r="B654" i="59"/>
  <c r="B650" i="59"/>
  <c r="B646" i="59"/>
  <c r="B642" i="59"/>
  <c r="B638" i="59"/>
  <c r="B634" i="59"/>
  <c r="B630" i="59"/>
  <c r="B626" i="59"/>
  <c r="B622" i="59"/>
  <c r="B618" i="59"/>
  <c r="B614" i="59"/>
  <c r="B610" i="59"/>
  <c r="B606" i="59"/>
  <c r="B602" i="59"/>
  <c r="B598" i="59"/>
  <c r="B594" i="59"/>
  <c r="B590" i="59"/>
  <c r="B586" i="59"/>
  <c r="B582" i="59"/>
  <c r="B578" i="59"/>
  <c r="B574" i="59"/>
  <c r="B570" i="59"/>
  <c r="B566" i="59"/>
  <c r="B562" i="59"/>
  <c r="B558" i="59"/>
  <c r="B554" i="59"/>
  <c r="B550" i="59"/>
  <c r="B546" i="59"/>
  <c r="B542" i="59"/>
  <c r="B538" i="59"/>
  <c r="B534" i="59"/>
  <c r="B530" i="59"/>
  <c r="B526" i="59"/>
  <c r="B522" i="59"/>
  <c r="B518" i="59"/>
  <c r="B514" i="59"/>
  <c r="B506" i="59"/>
  <c r="B498" i="59"/>
  <c r="B490" i="59"/>
  <c r="B482" i="59"/>
  <c r="B474" i="59"/>
  <c r="B466" i="59"/>
  <c r="B458" i="59"/>
  <c r="B839" i="59"/>
  <c r="B836" i="59"/>
  <c r="B835" i="59"/>
  <c r="B833" i="59"/>
  <c r="B832" i="59"/>
  <c r="B831" i="59"/>
  <c r="B829" i="59"/>
  <c r="B828" i="59"/>
  <c r="B827" i="59"/>
  <c r="B825" i="59"/>
  <c r="B824" i="59"/>
  <c r="B823" i="59"/>
  <c r="B821" i="59"/>
  <c r="B820" i="59"/>
  <c r="B819" i="59"/>
  <c r="B817" i="59"/>
  <c r="B815" i="59"/>
  <c r="B813" i="59"/>
  <c r="B812" i="59"/>
  <c r="B811" i="59"/>
  <c r="B809" i="59"/>
  <c r="B808" i="59"/>
  <c r="B807" i="59"/>
  <c r="B805" i="59"/>
  <c r="B804" i="59"/>
  <c r="B803" i="59"/>
  <c r="B801" i="59"/>
  <c r="B800" i="59"/>
  <c r="B799" i="59"/>
  <c r="B797" i="59"/>
  <c r="B796" i="59"/>
  <c r="B795" i="59"/>
  <c r="B793" i="59"/>
  <c r="B792" i="59"/>
  <c r="B791" i="59"/>
  <c r="B789" i="59"/>
  <c r="B788" i="59"/>
  <c r="B787" i="59"/>
  <c r="B785" i="59"/>
  <c r="B784" i="59"/>
  <c r="B783" i="59"/>
  <c r="B781" i="59"/>
  <c r="B780" i="59"/>
  <c r="B779" i="59"/>
  <c r="B777" i="59"/>
  <c r="B776" i="59"/>
  <c r="B775" i="59"/>
  <c r="B773" i="59"/>
  <c r="B772" i="59"/>
  <c r="B771" i="59"/>
  <c r="B769" i="59"/>
  <c r="B768" i="59"/>
  <c r="B767" i="59"/>
  <c r="B765" i="59"/>
  <c r="B764" i="59"/>
  <c r="B763" i="59"/>
  <c r="B761" i="59"/>
  <c r="B760" i="59"/>
  <c r="B759" i="59"/>
  <c r="B756" i="59"/>
  <c r="B755" i="59"/>
  <c r="B753" i="59"/>
  <c r="B752" i="59"/>
  <c r="B751" i="59"/>
  <c r="B749" i="59"/>
  <c r="B748" i="59"/>
  <c r="B747" i="59"/>
  <c r="B745" i="59"/>
  <c r="B744" i="59"/>
  <c r="B743" i="59"/>
  <c r="B741" i="59"/>
  <c r="B740" i="59"/>
  <c r="B739" i="59"/>
  <c r="B737" i="59"/>
  <c r="B735" i="59"/>
  <c r="B733" i="59"/>
  <c r="B732" i="59"/>
  <c r="B731" i="59"/>
  <c r="B729" i="59"/>
  <c r="B728" i="59"/>
  <c r="B727" i="59"/>
  <c r="B725" i="59"/>
  <c r="B724" i="59"/>
  <c r="B723" i="59"/>
  <c r="B721" i="59"/>
  <c r="B720" i="59"/>
  <c r="B719" i="59"/>
  <c r="B717" i="59"/>
  <c r="B716" i="59"/>
  <c r="B715" i="59"/>
  <c r="B713" i="59"/>
  <c r="B712" i="59"/>
  <c r="B711" i="59"/>
  <c r="B709" i="59"/>
  <c r="B708" i="59"/>
  <c r="B707" i="59"/>
  <c r="B705" i="59"/>
  <c r="B704" i="59"/>
  <c r="B703" i="59"/>
  <c r="B701" i="59"/>
  <c r="B700" i="59"/>
  <c r="B699" i="59"/>
  <c r="B697" i="59"/>
  <c r="B696" i="59"/>
  <c r="B695" i="59"/>
  <c r="B693" i="59"/>
  <c r="B692" i="59"/>
  <c r="B691" i="59"/>
  <c r="B689" i="59"/>
  <c r="B688" i="59"/>
  <c r="B687" i="59"/>
  <c r="B685" i="59"/>
  <c r="B684" i="59"/>
  <c r="B683" i="59"/>
  <c r="B681" i="59"/>
  <c r="B680" i="59"/>
  <c r="B679" i="59"/>
  <c r="B676" i="59"/>
  <c r="B675" i="59"/>
  <c r="B673" i="59"/>
  <c r="B672" i="59"/>
  <c r="B671" i="59"/>
  <c r="B669" i="59"/>
  <c r="B668" i="59"/>
  <c r="B667" i="59"/>
  <c r="B665" i="59"/>
  <c r="B664" i="59"/>
  <c r="B663" i="59"/>
  <c r="B661" i="59"/>
  <c r="B660" i="59"/>
  <c r="B659" i="59"/>
  <c r="B657" i="59"/>
  <c r="B655" i="59"/>
  <c r="B653" i="59"/>
  <c r="B652" i="59"/>
  <c r="B651" i="59"/>
  <c r="B649" i="59"/>
  <c r="B648" i="59"/>
  <c r="B647" i="59"/>
  <c r="B645" i="59"/>
  <c r="B644" i="59"/>
  <c r="B643" i="59"/>
  <c r="B641" i="59"/>
  <c r="B640" i="59"/>
  <c r="B639" i="59"/>
  <c r="B637" i="59"/>
  <c r="B636" i="59"/>
  <c r="B635" i="59"/>
  <c r="B633" i="59"/>
  <c r="B632" i="59"/>
  <c r="B631" i="59"/>
  <c r="B629" i="59"/>
  <c r="B628" i="59"/>
  <c r="B627" i="59"/>
  <c r="B625" i="59"/>
  <c r="B624" i="59"/>
  <c r="B623" i="59"/>
  <c r="B621" i="59"/>
  <c r="B620" i="59"/>
  <c r="B619" i="59"/>
  <c r="B617" i="59"/>
  <c r="B616" i="59"/>
  <c r="B615" i="59"/>
  <c r="B613" i="59"/>
  <c r="B612" i="59"/>
  <c r="B611" i="59"/>
  <c r="B609" i="59"/>
  <c r="B608" i="59"/>
  <c r="B607" i="59"/>
  <c r="B605" i="59"/>
  <c r="B604" i="59"/>
  <c r="B603" i="59"/>
  <c r="B601" i="59"/>
  <c r="B600" i="59"/>
  <c r="B599" i="59"/>
  <c r="B596" i="59"/>
  <c r="B595" i="59"/>
  <c r="B593" i="59"/>
  <c r="B592" i="59"/>
  <c r="B591" i="59"/>
  <c r="B589" i="59"/>
  <c r="B588" i="59"/>
  <c r="B587" i="59"/>
  <c r="B585" i="59"/>
  <c r="B584" i="59"/>
  <c r="B583" i="59"/>
  <c r="B581" i="59"/>
  <c r="B580" i="59"/>
  <c r="B579" i="59"/>
  <c r="B577" i="59"/>
  <c r="B575" i="59"/>
  <c r="B573" i="59"/>
  <c r="B572" i="59"/>
  <c r="B571" i="59"/>
  <c r="B569" i="59"/>
  <c r="B568" i="59"/>
  <c r="B567" i="59"/>
  <c r="B565" i="59"/>
  <c r="B564" i="59"/>
  <c r="B563" i="59"/>
  <c r="B561" i="59"/>
  <c r="B560" i="59"/>
  <c r="B559" i="59"/>
  <c r="B556" i="59"/>
  <c r="B553" i="59"/>
  <c r="B552" i="59"/>
  <c r="B551" i="59"/>
  <c r="B548" i="59"/>
  <c r="B545" i="59"/>
  <c r="B544" i="59"/>
  <c r="B543" i="59"/>
  <c r="B540" i="59"/>
  <c r="B537" i="59"/>
  <c r="B536" i="59"/>
  <c r="B535" i="59"/>
  <c r="B532" i="59"/>
  <c r="B529" i="59"/>
  <c r="B528" i="59"/>
  <c r="B527" i="59"/>
  <c r="B524" i="59"/>
  <c r="B521" i="59"/>
  <c r="B520" i="59"/>
  <c r="B519" i="59"/>
  <c r="B516" i="59"/>
  <c r="B515" i="59"/>
  <c r="B512" i="59"/>
  <c r="B509" i="59"/>
  <c r="B508" i="59"/>
  <c r="B507" i="59"/>
  <c r="B504" i="59"/>
  <c r="B501" i="59"/>
  <c r="B500" i="59"/>
  <c r="B499" i="59"/>
  <c r="B492" i="59"/>
  <c r="B488" i="59"/>
  <c r="B484" i="59"/>
  <c r="B480" i="59"/>
  <c r="B476" i="59"/>
  <c r="B472" i="59"/>
  <c r="B468" i="59"/>
  <c r="B464" i="59"/>
  <c r="B460" i="59"/>
  <c r="B456" i="59"/>
  <c r="B452" i="59"/>
  <c r="B449" i="59"/>
  <c r="B448" i="59"/>
  <c r="B444" i="59"/>
  <c r="B440" i="59"/>
  <c r="B848" i="59" l="1"/>
  <c r="B849" i="59" s="1"/>
  <c r="C847" i="59"/>
  <c r="C848" i="59"/>
  <c r="D848" i="59" s="1"/>
  <c r="B850" i="59" l="1"/>
  <c r="B851" i="59" s="1"/>
  <c r="C849" i="59"/>
  <c r="D849" i="59"/>
  <c r="C850" i="59"/>
  <c r="D850" i="59" s="1"/>
  <c r="B852" i="59" l="1"/>
  <c r="B853" i="59" s="1"/>
  <c r="C851" i="59"/>
  <c r="C852" i="59"/>
  <c r="D852" i="59" s="1"/>
  <c r="D851" i="59"/>
  <c r="B854" i="59" l="1"/>
  <c r="B855" i="59" s="1"/>
  <c r="C853" i="59"/>
  <c r="D853" i="59"/>
  <c r="C854" i="59"/>
  <c r="D854" i="59" s="1"/>
  <c r="B856" i="59" l="1"/>
  <c r="B857" i="59" s="1"/>
  <c r="C855" i="59"/>
  <c r="C856" i="59"/>
  <c r="D856" i="59" s="1"/>
  <c r="D855" i="59"/>
  <c r="B858" i="59" l="1"/>
  <c r="B859" i="59" s="1"/>
  <c r="C857" i="59"/>
  <c r="D857" i="59"/>
  <c r="C858" i="59"/>
  <c r="D858" i="59" s="1"/>
  <c r="B860" i="59" l="1"/>
  <c r="B861" i="59" s="1"/>
  <c r="C859" i="59"/>
  <c r="C860" i="59"/>
  <c r="D860" i="59" s="1"/>
  <c r="D859" i="59"/>
  <c r="B862" i="59" l="1"/>
  <c r="B863" i="59" s="1"/>
  <c r="C861" i="59"/>
  <c r="D861" i="59"/>
  <c r="C862" i="59"/>
  <c r="D862" i="59" s="1"/>
  <c r="B864" i="59" l="1"/>
  <c r="B865" i="59" s="1"/>
  <c r="C863" i="59"/>
  <c r="C864" i="59"/>
  <c r="D864" i="59" s="1"/>
  <c r="D863" i="59"/>
  <c r="B866" i="59" l="1"/>
  <c r="B867" i="59" s="1"/>
  <c r="C865" i="59"/>
  <c r="D865" i="59"/>
  <c r="C866" i="59"/>
  <c r="D866" i="59" s="1"/>
  <c r="B868" i="59" l="1"/>
  <c r="B869" i="59" s="1"/>
  <c r="C867" i="59"/>
  <c r="C868" i="59"/>
  <c r="D868" i="59" s="1"/>
  <c r="D867" i="59"/>
  <c r="B870" i="59" l="1"/>
  <c r="B871" i="59" s="1"/>
  <c r="C869" i="59"/>
  <c r="D869" i="59"/>
  <c r="C870" i="59"/>
  <c r="D870" i="59" s="1"/>
  <c r="B872" i="59" l="1"/>
  <c r="B873" i="59" s="1"/>
  <c r="C871" i="59"/>
  <c r="C872" i="59"/>
  <c r="D872" i="59" s="1"/>
  <c r="D871" i="59"/>
  <c r="B874" i="59" l="1"/>
  <c r="B875" i="59" s="1"/>
  <c r="C873" i="59"/>
  <c r="D873" i="59"/>
  <c r="C874" i="59"/>
  <c r="D874" i="59" s="1"/>
  <c r="B876" i="59" l="1"/>
  <c r="B877" i="59" s="1"/>
  <c r="C875" i="59"/>
  <c r="C876" i="59"/>
  <c r="D876" i="59" s="1"/>
  <c r="D875" i="59"/>
  <c r="B878" i="59" l="1"/>
  <c r="B879" i="59" s="1"/>
  <c r="C877" i="59"/>
  <c r="D877" i="59"/>
  <c r="C878" i="59"/>
  <c r="D878" i="59" s="1"/>
  <c r="B880" i="59" l="1"/>
  <c r="B881" i="59" s="1"/>
  <c r="C879" i="59"/>
  <c r="C880" i="59"/>
  <c r="D880" i="59" s="1"/>
  <c r="D879" i="59"/>
  <c r="B882" i="59" l="1"/>
  <c r="B883" i="59" s="1"/>
  <c r="C881" i="59"/>
  <c r="D881" i="59"/>
  <c r="C882" i="59"/>
  <c r="D882" i="59" s="1"/>
  <c r="B884" i="59" l="1"/>
  <c r="B885" i="59" s="1"/>
  <c r="C883" i="59"/>
  <c r="C884" i="59"/>
  <c r="D884" i="59" s="1"/>
  <c r="D883" i="59"/>
  <c r="B886" i="59" l="1"/>
  <c r="B887" i="59" s="1"/>
  <c r="C885" i="59"/>
  <c r="D885" i="59"/>
  <c r="C886" i="59"/>
  <c r="D886" i="59" s="1"/>
  <c r="B888" i="59" l="1"/>
  <c r="B889" i="59" s="1"/>
  <c r="C887" i="59"/>
  <c r="C888" i="59"/>
  <c r="D888" i="59" s="1"/>
  <c r="D887" i="59"/>
  <c r="B890" i="59" l="1"/>
  <c r="B891" i="59" s="1"/>
  <c r="C889" i="59"/>
  <c r="D889" i="59"/>
  <c r="C890" i="59"/>
  <c r="D890" i="59" s="1"/>
  <c r="B892" i="59" l="1"/>
  <c r="B893" i="59" s="1"/>
  <c r="C891" i="59"/>
  <c r="C892" i="59"/>
  <c r="D892" i="59" s="1"/>
  <c r="D891" i="59"/>
  <c r="B894" i="59" l="1"/>
  <c r="B895" i="59" s="1"/>
  <c r="C893" i="59"/>
  <c r="D893" i="59"/>
  <c r="C894" i="59"/>
  <c r="D894" i="59" s="1"/>
  <c r="B896" i="59" l="1"/>
  <c r="B897" i="59" s="1"/>
  <c r="C895" i="59"/>
  <c r="C896" i="59"/>
  <c r="D896" i="59" s="1"/>
  <c r="D895" i="59"/>
  <c r="B898" i="59" l="1"/>
  <c r="B899" i="59" s="1"/>
  <c r="C897" i="59"/>
  <c r="D897" i="59"/>
  <c r="C898" i="59"/>
  <c r="D898" i="59" s="1"/>
  <c r="B900" i="59" l="1"/>
  <c r="B901" i="59" s="1"/>
  <c r="C899" i="59"/>
  <c r="C900" i="59"/>
  <c r="D900" i="59" s="1"/>
  <c r="D899" i="59"/>
  <c r="B902" i="59" l="1"/>
  <c r="B903" i="59" s="1"/>
  <c r="C901" i="59"/>
  <c r="D901" i="59"/>
  <c r="C902" i="59"/>
  <c r="D902" i="59" s="1"/>
  <c r="B904" i="59" l="1"/>
  <c r="B905" i="59" s="1"/>
  <c r="C903" i="59"/>
  <c r="C904" i="59"/>
  <c r="D904" i="59" s="1"/>
  <c r="D903" i="59"/>
  <c r="B906" i="59" l="1"/>
  <c r="B907" i="59" s="1"/>
  <c r="C905" i="59"/>
  <c r="D905" i="59"/>
  <c r="C906" i="59"/>
  <c r="D906" i="59" s="1"/>
  <c r="B908" i="59" l="1"/>
  <c r="B909" i="59" s="1"/>
  <c r="C907" i="59"/>
  <c r="C908" i="59"/>
  <c r="D908" i="59" s="1"/>
  <c r="D907" i="59"/>
  <c r="B910" i="59" l="1"/>
  <c r="B911" i="59" s="1"/>
  <c r="C909" i="59"/>
  <c r="D909" i="59"/>
  <c r="C910" i="59"/>
  <c r="D910" i="59" s="1"/>
  <c r="B912" i="59" l="1"/>
  <c r="B913" i="59" s="1"/>
  <c r="C911" i="59"/>
  <c r="C912" i="59"/>
  <c r="D912" i="59" s="1"/>
  <c r="D911" i="59"/>
  <c r="B914" i="59" l="1"/>
  <c r="B915" i="59" s="1"/>
  <c r="C913" i="59"/>
  <c r="D913" i="59"/>
  <c r="C914" i="59"/>
  <c r="D914" i="59" s="1"/>
  <c r="B916" i="59" l="1"/>
  <c r="B917" i="59" s="1"/>
  <c r="C915" i="59"/>
  <c r="C916" i="59"/>
  <c r="D916" i="59" s="1"/>
  <c r="D915" i="59"/>
  <c r="B918" i="59" l="1"/>
  <c r="B919" i="59" s="1"/>
  <c r="C917" i="59"/>
  <c r="D917" i="59"/>
  <c r="C918" i="59"/>
  <c r="D918" i="59" s="1"/>
  <c r="B920" i="59" l="1"/>
  <c r="B921" i="59" s="1"/>
  <c r="C919" i="59"/>
  <c r="C920" i="59"/>
  <c r="D920" i="59" s="1"/>
  <c r="D919" i="59"/>
  <c r="B922" i="59" l="1"/>
  <c r="B923" i="59" s="1"/>
  <c r="C921" i="59"/>
  <c r="D921" i="59"/>
  <c r="C922" i="59"/>
  <c r="D922" i="59" s="1"/>
  <c r="B924" i="59" l="1"/>
  <c r="B925" i="59" s="1"/>
  <c r="C923" i="59"/>
  <c r="C924" i="59"/>
  <c r="D924" i="59" s="1"/>
  <c r="D923" i="59"/>
  <c r="B926" i="59" l="1"/>
  <c r="B927" i="59" s="1"/>
  <c r="C925" i="59"/>
  <c r="D925" i="59"/>
  <c r="C926" i="59"/>
  <c r="D926" i="59" s="1"/>
  <c r="B928" i="59" l="1"/>
  <c r="B929" i="59" s="1"/>
  <c r="C927" i="59"/>
  <c r="C928" i="59"/>
  <c r="D928" i="59" s="1"/>
  <c r="D927" i="59"/>
  <c r="B930" i="59" l="1"/>
  <c r="B931" i="59" s="1"/>
  <c r="C929" i="59"/>
  <c r="D929" i="59"/>
  <c r="C930" i="59"/>
  <c r="D930" i="59" s="1"/>
  <c r="B932" i="59" l="1"/>
  <c r="B933" i="59" s="1"/>
  <c r="C931" i="59"/>
  <c r="C932" i="59"/>
  <c r="D932" i="59" s="1"/>
  <c r="D931" i="59"/>
  <c r="B934" i="59" l="1"/>
  <c r="B935" i="59" s="1"/>
  <c r="C933" i="59"/>
  <c r="D933" i="59"/>
  <c r="C934" i="59"/>
  <c r="D934" i="59" s="1"/>
  <c r="B936" i="59" l="1"/>
  <c r="B937" i="59" s="1"/>
  <c r="C935" i="59"/>
  <c r="C936" i="59"/>
  <c r="D936" i="59" s="1"/>
  <c r="D935" i="59"/>
  <c r="B938" i="59" l="1"/>
  <c r="B939" i="59" s="1"/>
  <c r="C937" i="59"/>
  <c r="D937" i="59"/>
  <c r="C938" i="59"/>
  <c r="D938" i="59" s="1"/>
  <c r="B940" i="59" l="1"/>
  <c r="B941" i="59" s="1"/>
  <c r="C939" i="59"/>
  <c r="C940" i="59"/>
  <c r="D940" i="59" s="1"/>
  <c r="D939" i="59"/>
  <c r="B942" i="59" l="1"/>
  <c r="B943" i="59" s="1"/>
  <c r="C941" i="59"/>
  <c r="D941" i="59"/>
  <c r="C942" i="59"/>
  <c r="D942" i="59" s="1"/>
  <c r="B944" i="59" l="1"/>
  <c r="B945" i="59" s="1"/>
  <c r="C943" i="59"/>
  <c r="C944" i="59"/>
  <c r="D944" i="59" s="1"/>
  <c r="D943" i="59"/>
  <c r="B946" i="59" l="1"/>
  <c r="B947" i="59" s="1"/>
  <c r="C945" i="59"/>
  <c r="D945" i="59"/>
  <c r="C946" i="59"/>
  <c r="D946" i="59" s="1"/>
  <c r="B948" i="59" l="1"/>
  <c r="B949" i="59" s="1"/>
  <c r="C947" i="59"/>
  <c r="C948" i="59"/>
  <c r="D948" i="59" s="1"/>
  <c r="D947" i="59"/>
  <c r="B950" i="59" l="1"/>
  <c r="B951" i="59" s="1"/>
  <c r="C949" i="59"/>
  <c r="D949" i="59"/>
  <c r="C950" i="59"/>
  <c r="D950" i="59" s="1"/>
  <c r="B952" i="59" l="1"/>
  <c r="B953" i="59" s="1"/>
  <c r="C951" i="59"/>
  <c r="C952" i="59"/>
  <c r="D952" i="59" s="1"/>
  <c r="D951" i="59"/>
  <c r="B954" i="59" l="1"/>
  <c r="B955" i="59" s="1"/>
  <c r="C953" i="59"/>
  <c r="D953" i="59"/>
  <c r="C954" i="59"/>
  <c r="D954" i="59" s="1"/>
  <c r="B956" i="59" l="1"/>
  <c r="B957" i="59" s="1"/>
  <c r="C955" i="59"/>
  <c r="C956" i="59"/>
  <c r="D956" i="59" s="1"/>
  <c r="D955" i="59"/>
  <c r="B958" i="59" l="1"/>
  <c r="B959" i="59" s="1"/>
  <c r="C957" i="59"/>
  <c r="D957" i="59"/>
  <c r="C958" i="59"/>
  <c r="D958" i="59" s="1"/>
  <c r="B960" i="59" l="1"/>
  <c r="B961" i="59" s="1"/>
  <c r="C959" i="59"/>
  <c r="C960" i="59"/>
  <c r="D960" i="59" s="1"/>
  <c r="D959" i="59"/>
  <c r="B962" i="59" l="1"/>
  <c r="B963" i="59" s="1"/>
  <c r="C961" i="59"/>
  <c r="D961" i="59"/>
  <c r="C962" i="59"/>
  <c r="D962" i="59" s="1"/>
  <c r="B964" i="59" l="1"/>
  <c r="B965" i="59" s="1"/>
  <c r="C963" i="59"/>
  <c r="C964" i="59"/>
  <c r="D964" i="59" s="1"/>
  <c r="D963" i="59"/>
  <c r="B966" i="59" l="1"/>
  <c r="B967" i="59" s="1"/>
  <c r="C965" i="59"/>
  <c r="D965" i="59"/>
  <c r="C966" i="59"/>
  <c r="D966" i="59" s="1"/>
  <c r="B968" i="59" l="1"/>
  <c r="B969" i="59" s="1"/>
  <c r="C967" i="59"/>
  <c r="C968" i="59"/>
  <c r="D968" i="59" s="1"/>
  <c r="D967" i="59"/>
  <c r="B970" i="59" l="1"/>
  <c r="B971" i="59" s="1"/>
  <c r="C969" i="59"/>
  <c r="D969" i="59"/>
  <c r="C970" i="59"/>
  <c r="D970" i="59" s="1"/>
  <c r="B972" i="59" l="1"/>
  <c r="B973" i="59" s="1"/>
  <c r="C971" i="59"/>
  <c r="C972" i="59"/>
  <c r="D972" i="59" s="1"/>
  <c r="D971" i="59"/>
  <c r="B974" i="59" l="1"/>
  <c r="B975" i="59" s="1"/>
  <c r="C973" i="59"/>
  <c r="D973" i="59"/>
  <c r="C974" i="59"/>
  <c r="D974" i="59" s="1"/>
  <c r="B976" i="59" l="1"/>
  <c r="B977" i="59" s="1"/>
  <c r="C975" i="59"/>
  <c r="C976" i="59"/>
  <c r="D976" i="59" s="1"/>
  <c r="D975" i="59"/>
  <c r="B978" i="59" l="1"/>
  <c r="B979" i="59" s="1"/>
  <c r="C977" i="59"/>
  <c r="D977" i="59"/>
  <c r="C978" i="59"/>
  <c r="D978" i="59" s="1"/>
  <c r="B980" i="59" l="1"/>
  <c r="B981" i="59" s="1"/>
  <c r="C979" i="59"/>
  <c r="C980" i="59"/>
  <c r="D980" i="59" s="1"/>
  <c r="D979" i="59"/>
  <c r="B982" i="59" l="1"/>
  <c r="B983" i="59" s="1"/>
  <c r="C981" i="59"/>
  <c r="D981" i="59"/>
  <c r="C982" i="59"/>
  <c r="D982" i="59" s="1"/>
  <c r="B984" i="59" l="1"/>
  <c r="B985" i="59" s="1"/>
  <c r="C983" i="59"/>
  <c r="C984" i="59"/>
  <c r="D984" i="59" s="1"/>
  <c r="D983" i="59"/>
  <c r="B986" i="59" l="1"/>
  <c r="B987" i="59" s="1"/>
  <c r="C985" i="59"/>
  <c r="D985" i="59"/>
  <c r="C986" i="59"/>
  <c r="D986" i="59" s="1"/>
  <c r="B988" i="59" l="1"/>
  <c r="B989" i="59" s="1"/>
  <c r="C987" i="59"/>
  <c r="C988" i="59"/>
  <c r="D988" i="59" s="1"/>
  <c r="D987" i="59"/>
  <c r="B990" i="59" l="1"/>
  <c r="B991" i="59" s="1"/>
  <c r="C989" i="59"/>
  <c r="D989" i="59"/>
  <c r="C990" i="59"/>
  <c r="D990" i="59" s="1"/>
  <c r="B992" i="59" l="1"/>
  <c r="B993" i="59" s="1"/>
  <c r="C991" i="59"/>
  <c r="C992" i="59"/>
  <c r="D992" i="59" s="1"/>
  <c r="D991" i="59"/>
  <c r="B994" i="59" l="1"/>
  <c r="B995" i="59" s="1"/>
  <c r="C993" i="59"/>
  <c r="D993" i="59"/>
  <c r="C994" i="59"/>
  <c r="D994" i="59" s="1"/>
  <c r="B996" i="59" l="1"/>
  <c r="B997" i="59" s="1"/>
  <c r="C995" i="59"/>
  <c r="C996" i="59"/>
  <c r="D996" i="59" s="1"/>
  <c r="D995" i="59"/>
  <c r="B998" i="59" l="1"/>
  <c r="B999" i="59" s="1"/>
  <c r="C997" i="59"/>
  <c r="D997" i="59"/>
  <c r="C998" i="59"/>
  <c r="D998" i="59" s="1"/>
  <c r="B1000" i="59" l="1"/>
  <c r="B1001" i="59" s="1"/>
  <c r="C999" i="59"/>
  <c r="C1000" i="59"/>
  <c r="D1000" i="59" s="1"/>
  <c r="D999" i="59"/>
  <c r="B1002" i="59" l="1"/>
  <c r="B1003" i="59" s="1"/>
  <c r="C1001" i="59"/>
  <c r="D1001" i="59"/>
  <c r="C1002" i="59"/>
  <c r="D1002" i="59" s="1"/>
  <c r="B1004" i="59" l="1"/>
  <c r="B1005" i="59" s="1"/>
  <c r="C1003" i="59"/>
  <c r="C1004" i="59"/>
  <c r="D1004" i="59" s="1"/>
  <c r="D1003" i="59"/>
  <c r="B1006" i="59" l="1"/>
  <c r="B1007" i="59" s="1"/>
  <c r="C1005" i="59"/>
  <c r="D1005" i="59"/>
  <c r="C1006" i="59"/>
  <c r="D1006" i="59" s="1"/>
  <c r="B1008" i="59" l="1"/>
  <c r="B1009" i="59" s="1"/>
  <c r="C1007" i="59"/>
  <c r="C1008" i="59"/>
  <c r="D1008" i="59" s="1"/>
  <c r="D1007" i="59"/>
  <c r="B1010" i="59" l="1"/>
  <c r="B1011" i="59" s="1"/>
  <c r="C1009" i="59"/>
  <c r="D1009" i="59"/>
  <c r="C1010" i="59"/>
  <c r="D1010" i="59" s="1"/>
  <c r="B1012" i="59" l="1"/>
  <c r="B1013" i="59" s="1"/>
  <c r="C1011" i="59"/>
  <c r="C1012" i="59"/>
  <c r="D1012" i="59" s="1"/>
  <c r="D1011" i="59"/>
  <c r="B1014" i="59" l="1"/>
  <c r="B1015" i="59" s="1"/>
  <c r="C1013" i="59"/>
  <c r="D1013" i="59"/>
  <c r="C1014" i="59"/>
  <c r="D1014" i="59" s="1"/>
  <c r="B1016" i="59" l="1"/>
  <c r="B1017" i="59" s="1"/>
  <c r="C1015" i="59"/>
  <c r="C1016" i="59"/>
  <c r="D1016" i="59" s="1"/>
  <c r="D1015" i="59"/>
  <c r="B1018" i="59" l="1"/>
  <c r="B1019" i="59" s="1"/>
  <c r="C1017" i="59"/>
  <c r="D1017" i="59"/>
  <c r="C1018" i="59"/>
  <c r="D1018" i="59" s="1"/>
  <c r="B1020" i="59" l="1"/>
  <c r="B1021" i="59" s="1"/>
  <c r="C1019" i="59"/>
  <c r="C1020" i="59"/>
  <c r="D1020" i="59" s="1"/>
  <c r="D1019" i="59"/>
  <c r="B1022" i="59" l="1"/>
  <c r="B1023" i="59" s="1"/>
  <c r="C1021" i="59"/>
  <c r="D1021" i="59"/>
  <c r="C1022" i="59"/>
  <c r="D1022" i="59" s="1"/>
  <c r="B1024" i="59" l="1"/>
  <c r="B1025" i="59" s="1"/>
  <c r="C1023" i="59"/>
  <c r="C1024" i="59"/>
  <c r="D1024" i="59" s="1"/>
  <c r="D1023" i="59"/>
  <c r="B1026" i="59" l="1"/>
  <c r="B1027" i="59" s="1"/>
  <c r="C1025" i="59"/>
  <c r="D1025" i="59"/>
  <c r="C1026" i="59"/>
  <c r="D1026" i="59" s="1"/>
  <c r="B1028" i="59" l="1"/>
  <c r="B1029" i="59" s="1"/>
  <c r="C1027" i="59"/>
  <c r="C1028" i="59"/>
  <c r="D1028" i="59" s="1"/>
  <c r="D1027" i="59"/>
  <c r="B1030" i="59" l="1"/>
  <c r="B1031" i="59" s="1"/>
  <c r="C1029" i="59"/>
  <c r="D1029" i="59"/>
  <c r="C1030" i="59"/>
  <c r="D1030" i="59" s="1"/>
  <c r="B1032" i="59" l="1"/>
  <c r="B1033" i="59" s="1"/>
  <c r="C1031" i="59"/>
  <c r="C1032" i="59"/>
  <c r="D1032" i="59" s="1"/>
  <c r="D1031" i="59"/>
  <c r="B1034" i="59" l="1"/>
  <c r="B1035" i="59" s="1"/>
  <c r="C1033" i="59"/>
  <c r="D1033" i="59"/>
  <c r="C1034" i="59"/>
  <c r="D1034" i="59" s="1"/>
  <c r="B1036" i="59" l="1"/>
  <c r="B1037" i="59" s="1"/>
  <c r="C1035" i="59"/>
  <c r="C1036" i="59"/>
  <c r="D1036" i="59" s="1"/>
  <c r="D1035" i="59"/>
  <c r="B1038" i="59" l="1"/>
  <c r="B1039" i="59" s="1"/>
  <c r="C1037" i="59"/>
  <c r="D1037" i="59"/>
  <c r="C1038" i="59"/>
  <c r="D1038" i="59" s="1"/>
  <c r="B1040" i="59" l="1"/>
  <c r="B1041" i="59" s="1"/>
  <c r="C1039" i="59"/>
  <c r="C1040" i="59"/>
  <c r="D1040" i="59" s="1"/>
  <c r="D1039" i="59"/>
  <c r="B1042" i="59" l="1"/>
  <c r="B1043" i="59" s="1"/>
  <c r="C1041" i="59"/>
  <c r="D1041" i="59"/>
  <c r="C1042" i="59"/>
  <c r="D1042" i="59" s="1"/>
  <c r="B1044" i="59" l="1"/>
  <c r="B1045" i="59" s="1"/>
  <c r="C1043" i="59"/>
  <c r="C1044" i="59"/>
  <c r="D1044" i="59" s="1"/>
  <c r="D1043" i="59"/>
  <c r="B1046" i="59" l="1"/>
  <c r="B1047" i="59" s="1"/>
  <c r="C1045" i="59"/>
  <c r="D1045" i="59"/>
  <c r="C1046" i="59"/>
  <c r="D1046" i="59" s="1"/>
  <c r="B1048" i="59" l="1"/>
  <c r="B1049" i="59" s="1"/>
  <c r="C1047" i="59"/>
  <c r="C1048" i="59"/>
  <c r="D1048" i="59" s="1"/>
  <c r="D1047" i="59"/>
  <c r="B1050" i="59" l="1"/>
  <c r="B1051" i="59" s="1"/>
  <c r="C1049" i="59"/>
  <c r="D1049" i="59"/>
  <c r="C1050" i="59"/>
  <c r="D1050" i="59" s="1"/>
  <c r="B1052" i="59" l="1"/>
  <c r="B1053" i="59" s="1"/>
  <c r="C1051" i="59"/>
  <c r="C1052" i="59"/>
  <c r="D1052" i="59" s="1"/>
  <c r="D1051" i="59"/>
  <c r="B1054" i="59" l="1"/>
  <c r="B1055" i="59" s="1"/>
  <c r="C1053" i="59"/>
  <c r="D1053" i="59"/>
  <c r="C1054" i="59"/>
  <c r="D1054" i="59" s="1"/>
  <c r="B1056" i="59" l="1"/>
  <c r="B1057" i="59" s="1"/>
  <c r="C1055" i="59"/>
  <c r="C1056" i="59"/>
  <c r="D1056" i="59" s="1"/>
  <c r="D1055" i="59"/>
  <c r="B1058" i="59" l="1"/>
  <c r="B1059" i="59" s="1"/>
  <c r="C1057" i="59"/>
  <c r="D1057" i="59"/>
  <c r="C1058" i="59"/>
  <c r="D1058" i="59" s="1"/>
  <c r="B1060" i="59" l="1"/>
  <c r="B1061" i="59" s="1"/>
  <c r="C1059" i="59"/>
  <c r="C1060" i="59"/>
  <c r="D1060" i="59" s="1"/>
  <c r="D1059" i="59"/>
  <c r="B1062" i="59" l="1"/>
  <c r="B1063" i="59" s="1"/>
  <c r="C1061" i="59"/>
  <c r="D1061" i="59"/>
  <c r="C1062" i="59"/>
  <c r="D1062" i="59" s="1"/>
  <c r="B1064" i="59" l="1"/>
  <c r="B1065" i="59" s="1"/>
  <c r="C1063" i="59"/>
  <c r="C1064" i="59"/>
  <c r="D1064" i="59" s="1"/>
  <c r="D1063" i="59"/>
  <c r="B1066" i="59" l="1"/>
  <c r="B1067" i="59" s="1"/>
  <c r="C1065" i="59"/>
  <c r="D1065" i="59"/>
  <c r="C1066" i="59"/>
  <c r="D1066" i="59" s="1"/>
  <c r="B1068" i="59" l="1"/>
  <c r="B1069" i="59" s="1"/>
  <c r="C1067" i="59"/>
  <c r="C1068" i="59"/>
  <c r="D1068" i="59" s="1"/>
  <c r="D1067" i="59"/>
  <c r="B1070" i="59" l="1"/>
  <c r="B1071" i="59" s="1"/>
  <c r="C1069" i="59"/>
  <c r="D1069" i="59"/>
  <c r="C1070" i="59"/>
  <c r="D1070" i="59" s="1"/>
  <c r="B1072" i="59" l="1"/>
  <c r="B1073" i="59" s="1"/>
  <c r="C1071" i="59"/>
  <c r="C1072" i="59"/>
  <c r="D1072" i="59" s="1"/>
  <c r="D1071" i="59"/>
  <c r="B1074" i="59" l="1"/>
  <c r="B1075" i="59" s="1"/>
  <c r="C1073" i="59"/>
  <c r="D1073" i="59"/>
  <c r="C1074" i="59"/>
  <c r="D1074" i="59" s="1"/>
  <c r="B1076" i="59" l="1"/>
  <c r="B1077" i="59" s="1"/>
  <c r="C1075" i="59"/>
  <c r="C1076" i="59"/>
  <c r="D1076" i="59" s="1"/>
  <c r="D1075" i="59"/>
  <c r="B1078" i="59" l="1"/>
  <c r="B1079" i="59" s="1"/>
  <c r="C1077" i="59"/>
  <c r="D1077" i="59"/>
  <c r="C1078" i="59"/>
  <c r="D1078" i="59" s="1"/>
  <c r="B1080" i="59" l="1"/>
  <c r="B1081" i="59" s="1"/>
  <c r="C1079" i="59"/>
  <c r="C1080" i="59"/>
  <c r="D1080" i="59" s="1"/>
  <c r="D1079" i="59"/>
  <c r="B1082" i="59" l="1"/>
  <c r="B1083" i="59" s="1"/>
  <c r="C1081" i="59"/>
  <c r="D1081" i="59"/>
  <c r="C1082" i="59"/>
  <c r="D1082" i="59" s="1"/>
  <c r="B1084" i="59" l="1"/>
  <c r="B1085" i="59" s="1"/>
  <c r="C1083" i="59"/>
  <c r="C1084" i="59"/>
  <c r="D1084" i="59" s="1"/>
  <c r="D1083" i="59"/>
  <c r="B1086" i="59" l="1"/>
  <c r="B1087" i="59" s="1"/>
  <c r="C1085" i="59"/>
  <c r="D1085" i="59"/>
  <c r="C1086" i="59"/>
  <c r="D1086" i="59" s="1"/>
  <c r="B1088" i="59" l="1"/>
  <c r="B1089" i="59" s="1"/>
  <c r="C1087" i="59"/>
  <c r="C1088" i="59"/>
  <c r="D1088" i="59" s="1"/>
  <c r="D1087" i="59"/>
  <c r="B1090" i="59" l="1"/>
  <c r="B1091" i="59" s="1"/>
  <c r="C1089" i="59"/>
  <c r="D1089" i="59"/>
  <c r="C1090" i="59"/>
  <c r="D1090" i="59" s="1"/>
  <c r="B1092" i="59" l="1"/>
  <c r="B1093" i="59" s="1"/>
  <c r="C1091" i="59"/>
  <c r="C1092" i="59"/>
  <c r="D1092" i="59" s="1"/>
  <c r="D1091" i="59"/>
  <c r="B1094" i="59" l="1"/>
  <c r="B1095" i="59" s="1"/>
  <c r="C1093" i="59"/>
  <c r="D1093" i="59"/>
  <c r="C1094" i="59"/>
  <c r="D1094" i="59" s="1"/>
  <c r="B1096" i="59" l="1"/>
  <c r="B1097" i="59" s="1"/>
  <c r="C1095" i="59"/>
  <c r="C1096" i="59"/>
  <c r="D1096" i="59" s="1"/>
  <c r="D1095" i="59"/>
  <c r="B1098" i="59" l="1"/>
  <c r="B1099" i="59" s="1"/>
  <c r="C1097" i="59"/>
  <c r="D1097" i="59"/>
  <c r="C1098" i="59"/>
  <c r="D1098" i="59" s="1"/>
  <c r="B1100" i="59" l="1"/>
  <c r="B1101" i="59" s="1"/>
  <c r="C1099" i="59"/>
  <c r="C1100" i="59"/>
  <c r="D1100" i="59" s="1"/>
  <c r="D1099" i="59"/>
  <c r="B1102" i="59" l="1"/>
  <c r="B1103" i="59" s="1"/>
  <c r="C1101" i="59"/>
  <c r="D1101" i="59"/>
  <c r="C1102" i="59"/>
  <c r="D1102" i="59" s="1"/>
  <c r="B1104" i="59" l="1"/>
  <c r="B1105" i="59" s="1"/>
  <c r="C1103" i="59"/>
  <c r="C1104" i="59"/>
  <c r="D1104" i="59" s="1"/>
  <c r="D1103" i="59"/>
  <c r="B1106" i="59" l="1"/>
  <c r="B1107" i="59" s="1"/>
  <c r="C1105" i="59"/>
  <c r="D1105" i="59"/>
  <c r="C1106" i="59"/>
  <c r="D1106" i="59" s="1"/>
  <c r="B1108" i="59" l="1"/>
  <c r="B1109" i="59" s="1"/>
  <c r="C1107" i="59"/>
  <c r="C1108" i="59"/>
  <c r="D1108" i="59" s="1"/>
  <c r="D1107" i="59"/>
  <c r="B1110" i="59" l="1"/>
  <c r="B1111" i="59" s="1"/>
  <c r="C1109" i="59"/>
  <c r="D1109" i="59"/>
  <c r="C1110" i="59"/>
  <c r="D1110" i="59" s="1"/>
  <c r="B1112" i="59" l="1"/>
  <c r="B1113" i="59" s="1"/>
  <c r="C1111" i="59"/>
  <c r="C1112" i="59"/>
  <c r="D1112" i="59" s="1"/>
  <c r="D1111" i="59"/>
  <c r="B1114" i="59" l="1"/>
  <c r="B1115" i="59" s="1"/>
  <c r="C1113" i="59"/>
  <c r="D1113" i="59"/>
  <c r="C1114" i="59"/>
  <c r="D1114" i="59" s="1"/>
  <c r="B1116" i="59" l="1"/>
  <c r="B1117" i="59" s="1"/>
  <c r="C1115" i="59"/>
  <c r="C1116" i="59"/>
  <c r="D1116" i="59" s="1"/>
  <c r="D1115" i="59"/>
  <c r="B1118" i="59" l="1"/>
  <c r="B1119" i="59" s="1"/>
  <c r="C1117" i="59"/>
  <c r="D1117" i="59"/>
  <c r="C1118" i="59"/>
  <c r="D1118" i="59" s="1"/>
  <c r="B1120" i="59" l="1"/>
  <c r="B1121" i="59" s="1"/>
  <c r="C1119" i="59"/>
  <c r="C1120" i="59"/>
  <c r="D1120" i="59" s="1"/>
  <c r="D1119" i="59"/>
  <c r="B1122" i="59" l="1"/>
  <c r="B1123" i="59" s="1"/>
  <c r="C1121" i="59"/>
  <c r="D1121" i="59"/>
  <c r="C1122" i="59"/>
  <c r="D1122" i="59" s="1"/>
  <c r="B1124" i="59" l="1"/>
  <c r="B1125" i="59" s="1"/>
  <c r="C1123" i="59"/>
  <c r="C1124" i="59"/>
  <c r="D1124" i="59" s="1"/>
  <c r="D1123" i="59"/>
  <c r="B1126" i="59" l="1"/>
  <c r="B1127" i="59" s="1"/>
  <c r="C1125" i="59"/>
  <c r="D1125" i="59"/>
  <c r="C1126" i="59"/>
  <c r="D1126" i="59" s="1"/>
  <c r="B1128" i="59" l="1"/>
  <c r="B1129" i="59" s="1"/>
  <c r="C1127" i="59"/>
  <c r="C1128" i="59"/>
  <c r="D1128" i="59" s="1"/>
  <c r="D1127" i="59"/>
  <c r="B1130" i="59" l="1"/>
  <c r="B1131" i="59" s="1"/>
  <c r="C1129" i="59"/>
  <c r="D1129" i="59"/>
  <c r="C1130" i="59"/>
  <c r="D1130" i="59" s="1"/>
  <c r="B1132" i="59" l="1"/>
  <c r="B1133" i="59" s="1"/>
  <c r="C1131" i="59"/>
  <c r="C1132" i="59"/>
  <c r="D1132" i="59" s="1"/>
  <c r="D1131" i="59"/>
  <c r="B1134" i="59" l="1"/>
  <c r="B1135" i="59" s="1"/>
  <c r="C1133" i="59"/>
  <c r="D1133" i="59"/>
  <c r="C1134" i="59"/>
  <c r="D1134" i="59" s="1"/>
  <c r="B1136" i="59" l="1"/>
  <c r="B1137" i="59" s="1"/>
  <c r="C1135" i="59"/>
  <c r="C1136" i="59"/>
  <c r="D1136" i="59" s="1"/>
  <c r="D1135" i="59"/>
  <c r="B1138" i="59" l="1"/>
  <c r="B1139" i="59" s="1"/>
  <c r="C1137" i="59"/>
  <c r="D1137" i="59"/>
  <c r="C1138" i="59"/>
  <c r="D1138" i="59" s="1"/>
  <c r="B1140" i="59" l="1"/>
  <c r="B1141" i="59" s="1"/>
  <c r="C1139" i="59"/>
  <c r="C1140" i="59"/>
  <c r="D1140" i="59" s="1"/>
  <c r="D1139" i="59"/>
  <c r="B1142" i="59" l="1"/>
  <c r="B1143" i="59" s="1"/>
  <c r="C1141" i="59"/>
  <c r="D1141" i="59"/>
  <c r="C1142" i="59"/>
  <c r="D1142" i="59" s="1"/>
  <c r="B1144" i="59" l="1"/>
  <c r="B1145" i="59" s="1"/>
  <c r="C1143" i="59"/>
  <c r="C1144" i="59"/>
  <c r="D1144" i="59" s="1"/>
  <c r="D1143" i="59"/>
  <c r="B1146" i="59" l="1"/>
  <c r="B1147" i="59" s="1"/>
  <c r="C1145" i="59"/>
  <c r="D1145" i="59"/>
  <c r="C1146" i="59"/>
  <c r="D1146" i="59" s="1"/>
  <c r="B1148" i="59" l="1"/>
  <c r="B1149" i="59" s="1"/>
  <c r="C1147" i="59"/>
  <c r="C1148" i="59"/>
  <c r="D1148" i="59" s="1"/>
  <c r="D1147" i="59"/>
  <c r="B1150" i="59" l="1"/>
  <c r="B1151" i="59" s="1"/>
  <c r="C1149" i="59"/>
  <c r="D1149" i="59"/>
  <c r="C1150" i="59"/>
  <c r="D1150" i="59" s="1"/>
  <c r="B1152" i="59" l="1"/>
  <c r="B1153" i="59" s="1"/>
  <c r="C1151" i="59"/>
  <c r="C1152" i="59"/>
  <c r="D1152" i="59" s="1"/>
  <c r="D1151" i="59"/>
  <c r="B1154" i="59" l="1"/>
  <c r="B1155" i="59" s="1"/>
  <c r="C1153" i="59"/>
  <c r="D1153" i="59"/>
  <c r="C1154" i="59"/>
  <c r="D1154" i="59" s="1"/>
  <c r="B1156" i="59" l="1"/>
  <c r="B1157" i="59" s="1"/>
  <c r="C1155" i="59"/>
  <c r="C1156" i="59"/>
  <c r="D1156" i="59" s="1"/>
  <c r="D1155" i="59"/>
  <c r="B1158" i="59" l="1"/>
  <c r="B1159" i="59" s="1"/>
  <c r="C1157" i="59"/>
  <c r="D1157" i="59"/>
  <c r="C1158" i="59"/>
  <c r="D1158" i="59" s="1"/>
  <c r="B1160" i="59" l="1"/>
  <c r="B1161" i="59" s="1"/>
  <c r="C1159" i="59"/>
  <c r="C1160" i="59"/>
  <c r="D1160" i="59" s="1"/>
  <c r="D1159" i="59"/>
  <c r="B1162" i="59" l="1"/>
  <c r="B1163" i="59" s="1"/>
  <c r="C1161" i="59"/>
  <c r="D1161" i="59"/>
  <c r="C1162" i="59"/>
  <c r="D1162" i="59" s="1"/>
  <c r="B1164" i="59" l="1"/>
  <c r="B1165" i="59" s="1"/>
  <c r="C1163" i="59"/>
  <c r="C1164" i="59"/>
  <c r="D1164" i="59" s="1"/>
  <c r="D1163" i="59"/>
  <c r="B1166" i="59" l="1"/>
  <c r="B1167" i="59" s="1"/>
  <c r="C1165" i="59"/>
  <c r="D1165" i="59"/>
  <c r="C1166" i="59"/>
  <c r="D1166" i="59" s="1"/>
  <c r="B1168" i="59" l="1"/>
  <c r="B1169" i="59" s="1"/>
  <c r="C1167" i="59"/>
  <c r="C1168" i="59"/>
  <c r="D1168" i="59" s="1"/>
  <c r="D1167" i="59"/>
  <c r="B1170" i="59" l="1"/>
  <c r="B1171" i="59" s="1"/>
  <c r="C1169" i="59"/>
  <c r="D1169" i="59"/>
  <c r="C1170" i="59"/>
  <c r="D1170" i="59" s="1"/>
  <c r="B1172" i="59" l="1"/>
  <c r="B1173" i="59" s="1"/>
  <c r="C1171" i="59"/>
  <c r="C1172" i="59"/>
  <c r="D1172" i="59" s="1"/>
  <c r="D1171" i="59"/>
  <c r="B1174" i="59" l="1"/>
  <c r="B1175" i="59" s="1"/>
  <c r="C1173" i="59"/>
  <c r="D1173" i="59"/>
  <c r="C1174" i="59"/>
  <c r="D1174" i="59" s="1"/>
  <c r="B1176" i="59" l="1"/>
  <c r="B1177" i="59" s="1"/>
  <c r="C1175" i="59"/>
  <c r="C1176" i="59"/>
  <c r="D1176" i="59" s="1"/>
  <c r="D1175" i="59"/>
  <c r="B1178" i="59" l="1"/>
  <c r="B1179" i="59" s="1"/>
  <c r="C1177" i="59"/>
  <c r="D1177" i="59"/>
  <c r="C1178" i="59"/>
  <c r="D1178" i="59" s="1"/>
  <c r="B1180" i="59" l="1"/>
  <c r="B1181" i="59" s="1"/>
  <c r="C1179" i="59"/>
  <c r="C1180" i="59"/>
  <c r="D1180" i="59" s="1"/>
  <c r="D1179" i="59"/>
  <c r="B1182" i="59" l="1"/>
  <c r="B1183" i="59" s="1"/>
  <c r="C1181" i="59"/>
  <c r="D1181" i="59"/>
  <c r="C1182" i="59"/>
  <c r="D1182" i="59" s="1"/>
  <c r="B1184" i="59" l="1"/>
  <c r="B1185" i="59" s="1"/>
  <c r="C1183" i="59"/>
  <c r="C1184" i="59"/>
  <c r="D1184" i="59" s="1"/>
  <c r="D1183" i="59"/>
  <c r="B1186" i="59" l="1"/>
  <c r="B1187" i="59" s="1"/>
  <c r="C1185" i="59"/>
  <c r="D1185" i="59"/>
  <c r="C1186" i="59"/>
  <c r="D1186" i="59" s="1"/>
  <c r="B1188" i="59" l="1"/>
  <c r="B1189" i="59" s="1"/>
  <c r="C1187" i="59"/>
  <c r="C1188" i="59"/>
  <c r="D1188" i="59" s="1"/>
  <c r="D1187" i="59"/>
  <c r="B1190" i="59" l="1"/>
  <c r="B1191" i="59" s="1"/>
  <c r="C1189" i="59"/>
  <c r="D1189" i="59"/>
  <c r="C1190" i="59"/>
  <c r="D1190" i="59" s="1"/>
  <c r="B1192" i="59" l="1"/>
  <c r="B1193" i="59" s="1"/>
  <c r="C1191" i="59"/>
  <c r="C1192" i="59"/>
  <c r="D1192" i="59" s="1"/>
  <c r="D1191" i="59"/>
  <c r="B1194" i="59" l="1"/>
  <c r="B1195" i="59" s="1"/>
  <c r="C1193" i="59"/>
  <c r="D1193" i="59"/>
  <c r="C1194" i="59"/>
  <c r="D1194" i="59" s="1"/>
  <c r="B1196" i="59" l="1"/>
  <c r="B1197" i="59" s="1"/>
  <c r="C1195" i="59"/>
  <c r="C1196" i="59"/>
  <c r="D1196" i="59" s="1"/>
  <c r="D1195" i="59"/>
  <c r="B1198" i="59" l="1"/>
  <c r="B1199" i="59" s="1"/>
  <c r="C1197" i="59"/>
  <c r="D1197" i="59"/>
  <c r="C1198" i="59"/>
  <c r="D1198" i="59" s="1"/>
  <c r="B1200" i="59" l="1"/>
  <c r="B1201" i="59" s="1"/>
  <c r="C1199" i="59"/>
  <c r="C1200" i="59"/>
  <c r="D1200" i="59" s="1"/>
  <c r="D1199" i="59"/>
  <c r="B1202" i="59" l="1"/>
  <c r="B1203" i="59" s="1"/>
  <c r="C1201" i="59"/>
  <c r="D1201" i="59"/>
  <c r="C1202" i="59"/>
  <c r="D1202" i="59" s="1"/>
  <c r="B1204" i="59" l="1"/>
  <c r="B1205" i="59" s="1"/>
  <c r="C1203" i="59"/>
  <c r="C1204" i="59"/>
  <c r="D1204" i="59" s="1"/>
  <c r="D1203" i="59"/>
  <c r="B1206" i="59" l="1"/>
  <c r="B1207" i="59" s="1"/>
  <c r="C1205" i="59"/>
  <c r="D1205" i="59"/>
  <c r="C1206" i="59"/>
  <c r="D1206" i="59" s="1"/>
  <c r="B1208" i="59" l="1"/>
  <c r="B1209" i="59" s="1"/>
  <c r="C1207" i="59"/>
  <c r="C1208" i="59"/>
  <c r="D1208" i="59" s="1"/>
  <c r="D1207" i="59"/>
  <c r="B1210" i="59" l="1"/>
  <c r="B1211" i="59" s="1"/>
  <c r="C1209" i="59"/>
  <c r="D1209" i="59"/>
  <c r="C1210" i="59"/>
  <c r="D1210" i="59" s="1"/>
  <c r="B1212" i="59" l="1"/>
  <c r="B1213" i="59" s="1"/>
  <c r="C1211" i="59"/>
  <c r="C1212" i="59"/>
  <c r="D1212" i="59" s="1"/>
  <c r="D1211" i="59"/>
  <c r="B1214" i="59" l="1"/>
  <c r="B1215" i="59" s="1"/>
  <c r="C1213" i="59"/>
  <c r="D1213" i="59"/>
  <c r="C1214" i="59"/>
  <c r="D1214" i="59" s="1"/>
  <c r="B1216" i="59" l="1"/>
  <c r="B1217" i="59" s="1"/>
  <c r="C1215" i="59"/>
  <c r="C1216" i="59"/>
  <c r="D1216" i="59" s="1"/>
  <c r="D1215" i="59"/>
  <c r="B1218" i="59" l="1"/>
  <c r="B1219" i="59" s="1"/>
  <c r="C1217" i="59"/>
  <c r="D1217" i="59"/>
  <c r="C1218" i="59"/>
  <c r="D1218" i="59" s="1"/>
  <c r="B1220" i="59" l="1"/>
  <c r="B1221" i="59" s="1"/>
  <c r="C1219" i="59"/>
  <c r="C1220" i="59"/>
  <c r="D1220" i="59" s="1"/>
  <c r="D1219" i="59"/>
  <c r="B1222" i="59" l="1"/>
  <c r="B1223" i="59" s="1"/>
  <c r="C1221" i="59"/>
  <c r="D1221" i="59"/>
  <c r="C1222" i="59"/>
  <c r="D1222" i="59" s="1"/>
  <c r="B1224" i="59" l="1"/>
  <c r="B1225" i="59" s="1"/>
  <c r="C1223" i="59"/>
  <c r="C1224" i="59"/>
  <c r="D1224" i="59" s="1"/>
  <c r="D1223" i="59"/>
  <c r="B1226" i="59" l="1"/>
  <c r="B1227" i="59" s="1"/>
  <c r="C1225" i="59"/>
  <c r="D1225" i="59"/>
  <c r="C1226" i="59"/>
  <c r="D1226" i="59" s="1"/>
  <c r="B1228" i="59" l="1"/>
  <c r="B1229" i="59" s="1"/>
  <c r="C1227" i="59"/>
  <c r="C1228" i="59"/>
  <c r="D1228" i="59" s="1"/>
  <c r="D1227" i="59"/>
  <c r="B1230" i="59" l="1"/>
  <c r="B1231" i="59" s="1"/>
  <c r="C1229" i="59"/>
  <c r="D1229" i="59"/>
  <c r="C1230" i="59"/>
  <c r="D1230" i="59" s="1"/>
  <c r="B1232" i="59" l="1"/>
  <c r="B1233" i="59" s="1"/>
  <c r="C1231" i="59"/>
  <c r="C1232" i="59"/>
  <c r="D1232" i="59" s="1"/>
  <c r="D1231" i="59"/>
  <c r="B1234" i="59" l="1"/>
  <c r="B1235" i="59" s="1"/>
  <c r="C1233" i="59"/>
  <c r="D1233" i="59"/>
  <c r="C1234" i="59"/>
  <c r="D1234" i="59" s="1"/>
  <c r="B1236" i="59" l="1"/>
  <c r="B1237" i="59" s="1"/>
  <c r="C1235" i="59"/>
  <c r="C1236" i="59"/>
  <c r="D1236" i="59" s="1"/>
  <c r="D1235" i="59"/>
  <c r="B1238" i="59" l="1"/>
  <c r="B1239" i="59" s="1"/>
  <c r="C1237" i="59"/>
  <c r="D1237" i="59"/>
  <c r="C1238" i="59"/>
  <c r="D1238" i="59" s="1"/>
  <c r="B1240" i="59" l="1"/>
  <c r="B1241" i="59" s="1"/>
  <c r="C1239" i="59"/>
  <c r="C1240" i="59"/>
  <c r="D1240" i="59" s="1"/>
  <c r="D1239" i="59"/>
  <c r="B1242" i="59" l="1"/>
  <c r="B1243" i="59" s="1"/>
  <c r="C1241" i="59"/>
  <c r="D1241" i="59"/>
  <c r="C1242" i="59"/>
  <c r="D1242" i="59" s="1"/>
  <c r="B1244" i="59" l="1"/>
  <c r="B1245" i="59" s="1"/>
  <c r="C1243" i="59"/>
  <c r="C1244" i="59"/>
  <c r="D1244" i="59" s="1"/>
  <c r="D1243" i="59"/>
  <c r="B1246" i="59" l="1"/>
  <c r="B1247" i="59" s="1"/>
  <c r="C1245" i="59"/>
  <c r="D1245" i="59"/>
  <c r="C1246" i="59"/>
  <c r="D1246" i="59" s="1"/>
  <c r="B1248" i="59" l="1"/>
  <c r="B1249" i="59" s="1"/>
  <c r="C1247" i="59"/>
  <c r="C1248" i="59"/>
  <c r="D1248" i="59" s="1"/>
  <c r="D1247" i="59"/>
  <c r="B1250" i="59" l="1"/>
  <c r="B1251" i="59" s="1"/>
  <c r="C1249" i="59"/>
  <c r="D1249" i="59"/>
  <c r="C1250" i="59"/>
  <c r="D1250" i="59" s="1"/>
  <c r="B1252" i="59" l="1"/>
  <c r="B1253" i="59" s="1"/>
  <c r="C1251" i="59"/>
  <c r="C1252" i="59"/>
  <c r="D1252" i="59" s="1"/>
  <c r="D1251" i="59"/>
  <c r="B1254" i="59" l="1"/>
  <c r="B1255" i="59" s="1"/>
  <c r="C1253" i="59"/>
  <c r="D1253" i="59"/>
  <c r="C1254" i="59"/>
  <c r="D1254" i="59" s="1"/>
  <c r="B1256" i="59" l="1"/>
  <c r="B1257" i="59" s="1"/>
  <c r="C1255" i="59"/>
  <c r="C1256" i="59"/>
  <c r="D1256" i="59" s="1"/>
  <c r="D1255" i="59"/>
  <c r="B1258" i="59" l="1"/>
  <c r="B1259" i="59" s="1"/>
  <c r="C1257" i="59"/>
  <c r="D1257" i="59"/>
  <c r="C1258" i="59"/>
  <c r="D1258" i="59" s="1"/>
  <c r="B1260" i="59" l="1"/>
  <c r="B1261" i="59" s="1"/>
  <c r="C1259" i="59"/>
  <c r="C1260" i="59"/>
  <c r="D1260" i="59" s="1"/>
  <c r="D1259" i="59"/>
  <c r="B1262" i="59" l="1"/>
  <c r="B1263" i="59" s="1"/>
  <c r="C1261" i="59"/>
  <c r="D1261" i="59"/>
  <c r="C1262" i="59"/>
  <c r="D1262" i="59" s="1"/>
  <c r="C1264" i="59" l="1"/>
  <c r="D1264" i="59" s="1"/>
  <c r="D1263" i="59"/>
  <c r="C1263" i="59"/>
  <c r="B1264" i="59"/>
  <c r="B1265" i="59" s="1"/>
  <c r="C1266" i="59" l="1"/>
  <c r="D1266" i="59" s="1"/>
  <c r="D1265" i="59"/>
  <c r="B1266" i="59"/>
  <c r="B1267" i="59" s="1"/>
  <c r="C1265" i="59"/>
  <c r="C1268" i="59" l="1"/>
  <c r="D1268" i="59" s="1"/>
  <c r="D1267" i="59"/>
  <c r="C1267" i="59"/>
  <c r="B1268" i="59"/>
  <c r="B1269" i="59" s="1"/>
  <c r="C1270" i="59" l="1"/>
  <c r="D1270" i="59" s="1"/>
  <c r="D1269" i="59"/>
  <c r="B1270" i="59"/>
  <c r="B1271" i="59" s="1"/>
  <c r="C1269" i="59"/>
  <c r="C1272" i="59" l="1"/>
  <c r="D1272" i="59" s="1"/>
  <c r="D1271" i="59"/>
  <c r="C1271" i="59"/>
  <c r="B1272" i="59"/>
  <c r="B1273" i="59" s="1"/>
  <c r="C1274" i="59" l="1"/>
  <c r="D1274" i="59" s="1"/>
  <c r="D1273" i="59"/>
  <c r="B1274" i="59"/>
  <c r="B1275" i="59" s="1"/>
  <c r="C1273" i="59"/>
  <c r="C1276" i="59" l="1"/>
  <c r="D1276" i="59" s="1"/>
  <c r="D1275" i="59"/>
  <c r="C1275" i="59"/>
  <c r="B1276" i="59"/>
  <c r="B1277" i="59" s="1"/>
  <c r="C1278" i="59" l="1"/>
  <c r="D1278" i="59" s="1"/>
  <c r="D1277" i="59"/>
  <c r="B1278" i="59"/>
  <c r="B1279" i="59" s="1"/>
  <c r="C1277" i="59"/>
  <c r="C1280" i="59" l="1"/>
  <c r="D1280" i="59" s="1"/>
  <c r="D1279" i="59"/>
  <c r="C1279" i="59"/>
  <c r="B1280" i="59"/>
  <c r="B1281" i="59" s="1"/>
  <c r="C1282" i="59" l="1"/>
  <c r="D1282" i="59" s="1"/>
  <c r="D1281" i="59"/>
  <c r="B1282" i="59"/>
  <c r="B1283" i="59" s="1"/>
  <c r="C1281" i="59"/>
  <c r="C1284" i="59" l="1"/>
  <c r="D1284" i="59" s="1"/>
  <c r="D1283" i="59"/>
  <c r="C1283" i="59"/>
  <c r="B1284" i="59"/>
  <c r="B1285" i="59" s="1"/>
  <c r="C1286" i="59" l="1"/>
  <c r="D1286" i="59" s="1"/>
  <c r="D1285" i="59"/>
  <c r="B1286" i="59"/>
  <c r="B1287" i="59" s="1"/>
  <c r="C1285" i="59"/>
  <c r="C1288" i="59" l="1"/>
  <c r="D1288" i="59" s="1"/>
  <c r="D1287" i="59"/>
  <c r="C1287" i="59"/>
  <c r="B1288" i="59"/>
  <c r="B1289" i="59" s="1"/>
  <c r="C1290" i="59" l="1"/>
  <c r="D1290" i="59" s="1"/>
  <c r="D1289" i="59"/>
  <c r="B1290" i="59"/>
  <c r="B1291" i="59" s="1"/>
  <c r="C1289" i="59"/>
  <c r="C1292" i="59" l="1"/>
  <c r="D1292" i="59" s="1"/>
  <c r="D1291" i="59"/>
  <c r="C1291" i="59"/>
  <c r="B1292" i="59"/>
  <c r="B1293" i="59" s="1"/>
  <c r="C1294" i="59" l="1"/>
  <c r="D1294" i="59" s="1"/>
  <c r="D1293" i="59"/>
  <c r="B1294" i="59"/>
  <c r="B1295" i="59" s="1"/>
  <c r="C1293" i="59"/>
  <c r="C1296" i="59" l="1"/>
  <c r="D1296" i="59" s="1"/>
  <c r="D1295" i="59"/>
  <c r="C1295" i="59"/>
  <c r="B1296" i="59"/>
  <c r="B1297" i="59" s="1"/>
  <c r="C1298" i="59" l="1"/>
  <c r="D1298" i="59" s="1"/>
  <c r="D1297" i="59"/>
  <c r="B1298" i="59"/>
  <c r="B1299" i="59" s="1"/>
  <c r="C1297" i="59"/>
  <c r="C1300" i="59" l="1"/>
  <c r="D1300" i="59" s="1"/>
  <c r="D1299" i="59"/>
  <c r="C1299" i="59"/>
  <c r="B1300" i="59"/>
  <c r="B1301" i="59" s="1"/>
  <c r="C1302" i="59" l="1"/>
  <c r="D1302" i="59" s="1"/>
  <c r="D1301" i="59"/>
  <c r="B1302" i="59"/>
  <c r="B1303" i="59" s="1"/>
  <c r="C1301" i="59"/>
  <c r="C1304" i="59" l="1"/>
  <c r="D1304" i="59" s="1"/>
  <c r="D1303" i="59"/>
  <c r="C1303" i="59"/>
  <c r="B1304" i="59"/>
  <c r="B1305" i="59" s="1"/>
  <c r="C1306" i="59" l="1"/>
  <c r="D1306" i="59" s="1"/>
  <c r="D1305" i="59"/>
  <c r="B1306" i="59"/>
  <c r="B1307" i="59" s="1"/>
  <c r="C1305" i="59"/>
  <c r="C1308" i="59" l="1"/>
  <c r="D1308" i="59" s="1"/>
  <c r="D1307" i="59"/>
  <c r="C1307" i="59"/>
  <c r="B1308" i="59"/>
  <c r="B1309" i="59" s="1"/>
  <c r="C1310" i="59" l="1"/>
  <c r="D1310" i="59" s="1"/>
  <c r="D1309" i="59"/>
  <c r="B1310" i="59"/>
  <c r="B1311" i="59" s="1"/>
  <c r="C1309" i="59"/>
  <c r="C1312" i="59" l="1"/>
  <c r="D1312" i="59" s="1"/>
  <c r="D1311" i="59"/>
  <c r="C1311" i="59"/>
  <c r="B1312" i="59"/>
  <c r="B1313" i="59" s="1"/>
  <c r="C1314" i="59" l="1"/>
  <c r="D1314" i="59" s="1"/>
  <c r="D1313" i="59"/>
  <c r="B1314" i="59"/>
  <c r="B1315" i="59" s="1"/>
  <c r="C1313" i="59"/>
  <c r="C1316" i="59" l="1"/>
  <c r="D1316" i="59" s="1"/>
  <c r="D1315" i="59"/>
  <c r="C1315" i="59"/>
  <c r="B1316" i="59"/>
  <c r="B1317" i="59" s="1"/>
  <c r="C1318" i="59" l="1"/>
  <c r="D1318" i="59" s="1"/>
  <c r="D1317" i="59"/>
  <c r="B1318" i="59"/>
  <c r="B1319" i="59" s="1"/>
  <c r="C1317" i="59"/>
  <c r="C1320" i="59" l="1"/>
  <c r="D1320" i="59" s="1"/>
  <c r="D1319" i="59"/>
  <c r="C1319" i="59"/>
  <c r="B1320" i="59"/>
  <c r="B1321" i="59" s="1"/>
  <c r="C1322" i="59" l="1"/>
  <c r="D1322" i="59" s="1"/>
  <c r="D1321" i="59"/>
  <c r="B1322" i="59"/>
  <c r="B1323" i="59" s="1"/>
  <c r="C1321" i="59"/>
  <c r="C1324" i="59" l="1"/>
  <c r="D1324" i="59" s="1"/>
  <c r="D1323" i="59"/>
  <c r="C1323" i="59"/>
  <c r="B1324" i="59"/>
  <c r="B1325" i="59" s="1"/>
  <c r="C1326" i="59" l="1"/>
  <c r="D1326" i="59" s="1"/>
  <c r="D1325" i="59"/>
  <c r="B1326" i="59"/>
  <c r="B1327" i="59" s="1"/>
  <c r="C1325" i="59"/>
  <c r="C1328" i="59" l="1"/>
  <c r="D1328" i="59" s="1"/>
  <c r="D1327" i="59"/>
  <c r="C1327" i="59"/>
  <c r="B1328" i="59"/>
  <c r="B1329" i="59" s="1"/>
  <c r="C1330" i="59" l="1"/>
  <c r="D1330" i="59" s="1"/>
  <c r="D1329" i="59"/>
  <c r="B1330" i="59"/>
  <c r="B1331" i="59" s="1"/>
  <c r="C1329" i="59"/>
  <c r="C1332" i="59" l="1"/>
  <c r="D1332" i="59" s="1"/>
  <c r="D1331" i="59"/>
  <c r="C1331" i="59"/>
  <c r="B1332" i="59"/>
  <c r="B1333" i="59" s="1"/>
  <c r="C1334" i="59" l="1"/>
  <c r="D1334" i="59" s="1"/>
  <c r="D1333" i="59"/>
  <c r="B1334" i="59"/>
  <c r="B1335" i="59" s="1"/>
  <c r="C1333" i="59"/>
  <c r="C1336" i="59" l="1"/>
  <c r="D1336" i="59" s="1"/>
  <c r="D1335" i="59"/>
  <c r="C1335" i="59"/>
  <c r="B1336" i="59"/>
  <c r="B1337" i="59" s="1"/>
  <c r="C1338" i="59" l="1"/>
  <c r="D1338" i="59" s="1"/>
  <c r="D1337" i="59"/>
  <c r="B1338" i="59"/>
  <c r="B1339" i="59" s="1"/>
  <c r="C1337" i="59"/>
  <c r="C1340" i="59" l="1"/>
  <c r="D1340" i="59" s="1"/>
  <c r="D1339" i="59"/>
  <c r="C1339" i="59"/>
  <c r="B1340" i="59"/>
  <c r="B1341" i="59" s="1"/>
  <c r="C1342" i="59" l="1"/>
  <c r="D1342" i="59" s="1"/>
  <c r="D1341" i="59"/>
  <c r="B1342" i="59"/>
  <c r="B1343" i="59" s="1"/>
  <c r="C1341" i="59"/>
  <c r="C1344" i="59" l="1"/>
  <c r="D1344" i="59" s="1"/>
  <c r="D1343" i="59"/>
  <c r="C1343" i="59"/>
  <c r="B1344" i="59"/>
  <c r="B1345" i="59" s="1"/>
  <c r="C1346" i="59" l="1"/>
  <c r="D1346" i="59" s="1"/>
  <c r="D1345" i="59"/>
  <c r="B1346" i="59"/>
  <c r="B1347" i="59" s="1"/>
  <c r="C1345" i="59"/>
  <c r="C1348" i="59" l="1"/>
  <c r="D1348" i="59" s="1"/>
  <c r="D1347" i="59"/>
  <c r="C1347" i="59"/>
  <c r="B1348" i="59"/>
  <c r="B1349" i="59" s="1"/>
  <c r="C1350" i="59" l="1"/>
  <c r="D1350" i="59" s="1"/>
  <c r="D1349" i="59"/>
  <c r="B1350" i="59"/>
  <c r="B1351" i="59" s="1"/>
  <c r="C1349" i="59"/>
  <c r="C1352" i="59" l="1"/>
  <c r="D1352" i="59" s="1"/>
  <c r="D1351" i="59"/>
  <c r="C1351" i="59"/>
  <c r="B1352" i="59"/>
  <c r="B1353" i="59" s="1"/>
  <c r="C1354" i="59" l="1"/>
  <c r="D1354" i="59" s="1"/>
  <c r="D1353" i="59"/>
  <c r="B1354" i="59"/>
  <c r="B1355" i="59" s="1"/>
  <c r="C1353" i="59"/>
  <c r="C1356" i="59" l="1"/>
  <c r="D1356" i="59" s="1"/>
  <c r="D1355" i="59"/>
  <c r="C1355" i="59"/>
  <c r="B1356" i="59"/>
  <c r="B1357" i="59" s="1"/>
  <c r="C1358" i="59" l="1"/>
  <c r="D1358" i="59" s="1"/>
  <c r="D1357" i="59"/>
  <c r="B1358" i="59"/>
  <c r="B1359" i="59" s="1"/>
  <c r="C1357" i="59"/>
  <c r="C1360" i="59" l="1"/>
  <c r="D1360" i="59" s="1"/>
  <c r="D1359" i="59"/>
  <c r="C1359" i="59"/>
  <c r="B1360" i="59"/>
  <c r="B1361" i="59" s="1"/>
  <c r="C1362" i="59" l="1"/>
  <c r="D1362" i="59" s="1"/>
  <c r="D1361" i="59"/>
  <c r="B1362" i="59"/>
  <c r="B1363" i="59" s="1"/>
  <c r="C1361" i="59"/>
  <c r="C1364" i="59" l="1"/>
  <c r="D1364" i="59" s="1"/>
  <c r="D1363" i="59"/>
  <c r="C1363" i="59"/>
  <c r="B1364" i="59"/>
  <c r="B1365" i="59" s="1"/>
  <c r="C1366" i="59" l="1"/>
  <c r="D1366" i="59" s="1"/>
  <c r="D1365" i="59"/>
  <c r="B1366" i="59"/>
  <c r="B1367" i="59" s="1"/>
  <c r="C1365" i="59"/>
  <c r="C1368" i="59" l="1"/>
  <c r="D1368" i="59" s="1"/>
  <c r="D1367" i="59"/>
  <c r="C1367" i="59"/>
  <c r="B1368" i="59"/>
  <c r="B1369" i="59" s="1"/>
  <c r="C1370" i="59" l="1"/>
  <c r="D1370" i="59" s="1"/>
  <c r="D1369" i="59"/>
  <c r="B1370" i="59"/>
  <c r="B1371" i="59" s="1"/>
  <c r="C1369" i="59"/>
  <c r="C1372" i="59" l="1"/>
  <c r="D1372" i="59" s="1"/>
  <c r="D1371" i="59"/>
  <c r="C1371" i="59"/>
  <c r="B1372" i="59"/>
  <c r="B1373" i="59" s="1"/>
  <c r="C1374" i="59" l="1"/>
  <c r="D1374" i="59" s="1"/>
  <c r="D1373" i="59"/>
  <c r="B1374" i="59"/>
  <c r="B1375" i="59" s="1"/>
  <c r="C1373" i="59"/>
  <c r="C1376" i="59" l="1"/>
  <c r="D1376" i="59" s="1"/>
  <c r="D1375" i="59"/>
  <c r="C1375" i="59"/>
  <c r="B1376" i="59"/>
  <c r="B1377" i="59" s="1"/>
  <c r="C1378" i="59" l="1"/>
  <c r="D1378" i="59" s="1"/>
  <c r="D1377" i="59"/>
  <c r="B1378" i="59"/>
  <c r="B1379" i="59" s="1"/>
  <c r="C1377" i="59"/>
  <c r="C1380" i="59" l="1"/>
  <c r="D1380" i="59" s="1"/>
  <c r="D1379" i="59"/>
  <c r="C1379" i="59"/>
  <c r="B1380" i="59"/>
  <c r="B1381" i="59" s="1"/>
  <c r="C1382" i="59" l="1"/>
  <c r="D1382" i="59" s="1"/>
  <c r="D1381" i="59"/>
  <c r="B1382" i="59"/>
  <c r="B1383" i="59" s="1"/>
  <c r="C1381" i="59"/>
  <c r="C1384" i="59" l="1"/>
  <c r="D1384" i="59" s="1"/>
  <c r="D1383" i="59"/>
  <c r="C1383" i="59"/>
  <c r="B1384" i="59"/>
  <c r="B1385" i="59" s="1"/>
  <c r="C1386" i="59" l="1"/>
  <c r="D1386" i="59" s="1"/>
  <c r="D1385" i="59"/>
  <c r="B1386" i="59"/>
  <c r="B1387" i="59" s="1"/>
  <c r="C1385" i="59"/>
  <c r="C1388" i="59" l="1"/>
  <c r="D1388" i="59" s="1"/>
  <c r="D1387" i="59"/>
  <c r="C1387" i="59"/>
  <c r="B1388" i="59"/>
  <c r="B1389" i="59" s="1"/>
  <c r="C1390" i="59" l="1"/>
  <c r="D1390" i="59" s="1"/>
  <c r="D1389" i="59"/>
  <c r="B1390" i="59"/>
  <c r="B1391" i="59" s="1"/>
  <c r="C1389" i="59"/>
  <c r="C1392" i="59" l="1"/>
  <c r="D1392" i="59" s="1"/>
  <c r="D1391" i="59"/>
  <c r="C1391" i="59"/>
  <c r="B1392" i="59"/>
  <c r="B1393" i="59" s="1"/>
  <c r="C1394" i="59" l="1"/>
  <c r="D1394" i="59" s="1"/>
  <c r="D1393" i="59"/>
  <c r="B1394" i="59"/>
  <c r="B1395" i="59" s="1"/>
  <c r="C1393" i="59"/>
  <c r="C1396" i="59" l="1"/>
  <c r="D1396" i="59" s="1"/>
  <c r="D1395" i="59"/>
  <c r="C1395" i="59"/>
  <c r="B1396" i="59"/>
  <c r="B1397" i="59" s="1"/>
  <c r="C1398" i="59" l="1"/>
  <c r="D1398" i="59" s="1"/>
  <c r="D1397" i="59"/>
  <c r="B1398" i="59"/>
  <c r="B1399" i="59" s="1"/>
  <c r="C1397" i="59"/>
  <c r="C1400" i="59" l="1"/>
  <c r="D1400" i="59" s="1"/>
  <c r="D1399" i="59"/>
  <c r="C1399" i="59"/>
  <c r="B1400" i="59"/>
  <c r="B1401" i="59" s="1"/>
  <c r="C1402" i="59" l="1"/>
  <c r="D1402" i="59" s="1"/>
  <c r="D1401" i="59"/>
  <c r="B1402" i="59"/>
  <c r="B1403" i="59" s="1"/>
  <c r="C1401" i="59"/>
  <c r="C1404" i="59" l="1"/>
  <c r="D1404" i="59" s="1"/>
  <c r="D1403" i="59"/>
  <c r="C1403" i="59"/>
  <c r="B1404" i="59"/>
  <c r="B1405" i="59" s="1"/>
  <c r="C1406" i="59" l="1"/>
  <c r="D1406" i="59" s="1"/>
  <c r="D1405" i="59"/>
  <c r="B1406" i="59"/>
  <c r="B1407" i="59" s="1"/>
  <c r="C1405" i="59"/>
  <c r="C1408" i="59" l="1"/>
  <c r="D1408" i="59" s="1"/>
  <c r="D1407" i="59"/>
  <c r="C1407" i="59"/>
  <c r="B1408" i="59"/>
  <c r="B1409" i="59" s="1"/>
  <c r="C1410" i="59" l="1"/>
  <c r="D1410" i="59" s="1"/>
  <c r="D1409" i="59"/>
  <c r="B1410" i="59"/>
  <c r="B1411" i="59" s="1"/>
  <c r="C1409" i="59"/>
  <c r="C1412" i="59" l="1"/>
  <c r="D1412" i="59" s="1"/>
  <c r="D1411" i="59"/>
  <c r="C1411" i="59"/>
  <c r="B1412" i="59"/>
  <c r="B1413" i="59" s="1"/>
  <c r="C1414" i="59" l="1"/>
  <c r="D1414" i="59" s="1"/>
  <c r="D1413" i="59"/>
  <c r="B1414" i="59"/>
  <c r="B1415" i="59" s="1"/>
  <c r="C1413" i="59"/>
  <c r="C1416" i="59" l="1"/>
  <c r="D1416" i="59" s="1"/>
  <c r="D1415" i="59"/>
  <c r="C1415" i="59"/>
  <c r="B1416" i="59"/>
  <c r="B1417" i="59" s="1"/>
  <c r="C1418" i="59" l="1"/>
  <c r="D1418" i="59" s="1"/>
  <c r="D1417" i="59"/>
  <c r="B1418" i="59"/>
  <c r="B1419" i="59" s="1"/>
  <c r="C1417" i="59"/>
  <c r="C1420" i="59" l="1"/>
  <c r="D1420" i="59" s="1"/>
  <c r="D1419" i="59"/>
  <c r="C1419" i="59"/>
  <c r="B1420" i="59"/>
  <c r="B1421" i="59" s="1"/>
  <c r="C1422" i="59" l="1"/>
  <c r="D1422" i="59" s="1"/>
  <c r="D1421" i="59"/>
  <c r="B1422" i="59"/>
  <c r="B1423" i="59" s="1"/>
  <c r="C1421" i="59"/>
  <c r="C1424" i="59" l="1"/>
  <c r="D1424" i="59" s="1"/>
  <c r="D1423" i="59"/>
  <c r="C1423" i="59"/>
  <c r="B1424" i="59"/>
  <c r="B1425" i="59" s="1"/>
  <c r="C1426" i="59" l="1"/>
  <c r="D1426" i="59" s="1"/>
  <c r="D1425" i="59"/>
  <c r="B1426" i="59"/>
  <c r="B1427" i="59" s="1"/>
  <c r="C1425" i="59"/>
  <c r="C1428" i="59" l="1"/>
  <c r="D1428" i="59" s="1"/>
  <c r="D1427" i="59"/>
  <c r="C1427" i="59"/>
  <c r="B1428" i="59"/>
  <c r="B1429" i="59" s="1"/>
  <c r="C1430" i="59" l="1"/>
  <c r="D1430" i="59" s="1"/>
  <c r="D1429" i="59"/>
  <c r="B1430" i="59"/>
  <c r="B1431" i="59" s="1"/>
  <c r="C1429" i="59"/>
  <c r="C1432" i="59" l="1"/>
  <c r="D1432" i="59" s="1"/>
  <c r="D1431" i="59"/>
  <c r="C1431" i="59"/>
  <c r="B1432" i="59"/>
  <c r="B1433" i="59" s="1"/>
  <c r="C1434" i="59" l="1"/>
  <c r="D1434" i="59" s="1"/>
  <c r="D1433" i="59"/>
  <c r="B1434" i="59"/>
  <c r="B1435" i="59" s="1"/>
  <c r="C1433" i="59"/>
  <c r="C1436" i="59" l="1"/>
  <c r="D1436" i="59" s="1"/>
  <c r="D1435" i="59"/>
  <c r="B1436" i="59"/>
  <c r="B1437" i="59" s="1"/>
  <c r="C1435" i="59"/>
  <c r="C1438" i="59" l="1"/>
  <c r="D1438" i="59" s="1"/>
  <c r="D1437" i="59"/>
  <c r="C1437" i="59"/>
  <c r="B1438" i="59"/>
  <c r="B1439" i="59" s="1"/>
  <c r="C1440" i="59" l="1"/>
  <c r="D1440" i="59" s="1"/>
  <c r="D1439" i="59"/>
  <c r="B1440" i="59"/>
  <c r="B1441" i="59" s="1"/>
  <c r="C1439" i="59"/>
  <c r="C1442" i="59" l="1"/>
  <c r="D1442" i="59" s="1"/>
  <c r="D1441" i="59"/>
  <c r="C1441" i="59"/>
  <c r="B1442" i="59"/>
  <c r="B1443" i="59" s="1"/>
  <c r="C1444" i="59" l="1"/>
  <c r="D1444" i="59" s="1"/>
  <c r="D1443" i="59"/>
  <c r="B1444" i="59"/>
  <c r="B1445" i="59" s="1"/>
  <c r="C1443" i="59"/>
  <c r="C1446" i="59" l="1"/>
  <c r="D1446" i="59" s="1"/>
  <c r="D1445" i="59"/>
  <c r="C1445" i="59"/>
  <c r="B1446" i="59"/>
  <c r="B1447" i="59" s="1"/>
  <c r="C1448" i="59" l="1"/>
  <c r="D1448" i="59" s="1"/>
  <c r="D1447" i="59"/>
  <c r="B1448" i="59"/>
  <c r="B1449" i="59" s="1"/>
  <c r="C1447" i="59"/>
  <c r="C1450" i="59" l="1"/>
  <c r="D1450" i="59" s="1"/>
  <c r="D1449" i="59"/>
  <c r="C1449" i="59"/>
  <c r="B1450" i="59"/>
  <c r="B1451" i="59" s="1"/>
  <c r="C1452" i="59" l="1"/>
  <c r="D1452" i="59" s="1"/>
  <c r="D1451" i="59"/>
  <c r="B1452" i="59"/>
  <c r="B1453" i="59" s="1"/>
  <c r="C1451" i="59"/>
  <c r="C1454" i="59" l="1"/>
  <c r="D1454" i="59" s="1"/>
  <c r="D1453" i="59"/>
  <c r="C1453" i="59"/>
  <c r="B1454" i="59"/>
  <c r="B1455" i="59" s="1"/>
  <c r="C1456" i="59" l="1"/>
  <c r="D1456" i="59" s="1"/>
  <c r="D1455" i="59"/>
  <c r="B1456" i="59"/>
  <c r="B1457" i="59" s="1"/>
  <c r="C1455" i="59"/>
  <c r="C1458" i="59" l="1"/>
  <c r="D1458" i="59" s="1"/>
  <c r="D1457" i="59"/>
  <c r="C1457" i="59"/>
  <c r="B1458" i="59"/>
  <c r="B1459" i="59" s="1"/>
  <c r="C1460" i="59" l="1"/>
  <c r="D1460" i="59" s="1"/>
  <c r="D1459" i="59"/>
  <c r="B1460" i="59"/>
  <c r="B1461" i="59" s="1"/>
  <c r="C1459" i="59"/>
  <c r="C1462" i="59" l="1"/>
  <c r="D1462" i="59" s="1"/>
  <c r="D1461" i="59"/>
  <c r="C1461" i="59"/>
  <c r="B1462" i="59"/>
  <c r="B1463" i="59" s="1"/>
  <c r="C1464" i="59" l="1"/>
  <c r="D1464" i="59" s="1"/>
  <c r="D1463" i="59"/>
  <c r="B1464" i="59"/>
  <c r="B1465" i="59" s="1"/>
  <c r="C1463" i="59"/>
  <c r="C1466" i="59" l="1"/>
  <c r="D1466" i="59" s="1"/>
  <c r="D1465" i="59"/>
  <c r="C1465" i="59"/>
  <c r="B1466" i="59"/>
  <c r="B1467" i="59" s="1"/>
  <c r="C1468" i="59" l="1"/>
  <c r="D1468" i="59" s="1"/>
  <c r="D1467" i="59"/>
  <c r="B1468" i="59"/>
  <c r="B1469" i="59" s="1"/>
  <c r="C1467" i="59"/>
  <c r="C1470" i="59" l="1"/>
  <c r="D1470" i="59" s="1"/>
  <c r="D1469" i="59"/>
  <c r="C1469" i="59"/>
  <c r="B1470" i="59"/>
  <c r="B1471" i="59" s="1"/>
  <c r="C1472" i="59" l="1"/>
  <c r="D1472" i="59" s="1"/>
  <c r="D1471" i="59"/>
  <c r="B1472" i="59"/>
  <c r="B1473" i="59" s="1"/>
  <c r="C1471" i="59"/>
  <c r="C1474" i="59" l="1"/>
  <c r="D1474" i="59" s="1"/>
  <c r="D1473" i="59"/>
  <c r="C1473" i="59"/>
  <c r="B1474" i="59"/>
  <c r="B1475" i="59" s="1"/>
  <c r="C1476" i="59" l="1"/>
  <c r="D1476" i="59" s="1"/>
  <c r="D1475" i="59"/>
  <c r="B1476" i="59"/>
  <c r="B1477" i="59" s="1"/>
  <c r="C1475" i="59"/>
  <c r="C1478" i="59" l="1"/>
  <c r="D1478" i="59" s="1"/>
  <c r="D1477" i="59"/>
  <c r="C1477" i="59"/>
  <c r="B1478" i="59"/>
  <c r="B1479" i="59" s="1"/>
  <c r="C1480" i="59" l="1"/>
  <c r="D1480" i="59" s="1"/>
  <c r="D1479" i="59"/>
  <c r="B1480" i="59"/>
  <c r="B1481" i="59" s="1"/>
  <c r="C1479" i="59"/>
  <c r="C1482" i="59" l="1"/>
  <c r="D1482" i="59" s="1"/>
  <c r="D1481" i="59"/>
  <c r="C1481" i="59"/>
  <c r="B1482" i="59"/>
  <c r="B1483" i="59" s="1"/>
  <c r="C1484" i="59" l="1"/>
  <c r="D1484" i="59" s="1"/>
  <c r="D1483" i="59"/>
  <c r="B1484" i="59"/>
  <c r="B1485" i="59" s="1"/>
  <c r="C1483" i="59"/>
  <c r="C1486" i="59" l="1"/>
  <c r="D1486" i="59" s="1"/>
  <c r="D1485" i="59"/>
  <c r="C1485" i="59"/>
  <c r="B1486" i="59"/>
  <c r="B1487" i="59" s="1"/>
  <c r="C1488" i="59" l="1"/>
  <c r="D1488" i="59" s="1"/>
  <c r="D1487" i="59"/>
  <c r="B1488" i="59"/>
  <c r="B1489" i="59" s="1"/>
  <c r="C1487" i="59"/>
  <c r="C1490" i="59" l="1"/>
  <c r="D1490" i="59" s="1"/>
  <c r="D1489" i="59"/>
  <c r="C1489" i="59"/>
  <c r="B1490" i="59"/>
  <c r="B1491" i="59" s="1"/>
  <c r="C1492" i="59" l="1"/>
  <c r="D1492" i="59" s="1"/>
  <c r="D1491" i="59"/>
  <c r="B1492" i="59"/>
  <c r="B1493" i="59" s="1"/>
  <c r="C1491" i="59"/>
  <c r="C1494" i="59" l="1"/>
  <c r="D1494" i="59" s="1"/>
  <c r="D1493" i="59"/>
  <c r="C1493" i="59"/>
  <c r="B1494" i="59"/>
  <c r="B1495" i="59" s="1"/>
  <c r="C1496" i="59" l="1"/>
  <c r="D1496" i="59" s="1"/>
  <c r="D1495" i="59"/>
  <c r="B1496" i="59"/>
  <c r="B1497" i="59" s="1"/>
  <c r="C1495" i="59"/>
  <c r="C1498" i="59" l="1"/>
  <c r="D1498" i="59" s="1"/>
  <c r="D1497" i="59"/>
  <c r="C1497" i="59"/>
  <c r="B1498" i="59"/>
  <c r="B1499" i="59" s="1"/>
  <c r="C1500" i="59" l="1"/>
  <c r="D1500" i="59" s="1"/>
  <c r="D1499" i="59"/>
  <c r="B1500" i="59"/>
  <c r="B1501" i="59" s="1"/>
  <c r="C1499" i="59"/>
  <c r="C1502" i="59" l="1"/>
  <c r="D1502" i="59" s="1"/>
  <c r="D1501" i="59"/>
  <c r="C1501" i="59"/>
  <c r="B1502" i="59"/>
  <c r="B1503" i="59" s="1"/>
  <c r="C1504" i="59" l="1"/>
  <c r="D1504" i="59" s="1"/>
  <c r="D1503" i="59"/>
  <c r="B1504" i="59"/>
  <c r="B1505" i="59" s="1"/>
  <c r="C1503" i="59"/>
  <c r="C1506" i="59" l="1"/>
  <c r="D1506" i="59" s="1"/>
  <c r="D1505" i="59"/>
  <c r="C1505" i="59"/>
  <c r="B1506" i="59"/>
  <c r="B1507" i="59" s="1"/>
  <c r="C1508" i="59" l="1"/>
  <c r="D1508" i="59" s="1"/>
  <c r="D1507" i="59"/>
  <c r="B1508" i="59"/>
  <c r="B1509" i="59" s="1"/>
  <c r="C1507" i="59"/>
  <c r="C1510" i="59" l="1"/>
  <c r="D1510" i="59" s="1"/>
  <c r="D1509" i="59"/>
  <c r="C1509" i="59"/>
  <c r="B1510" i="59"/>
  <c r="B1511" i="59" s="1"/>
  <c r="C1512" i="59" l="1"/>
  <c r="D1512" i="59" s="1"/>
  <c r="D1511" i="59"/>
  <c r="B1512" i="59"/>
  <c r="B1513" i="59" s="1"/>
  <c r="C1511" i="59"/>
  <c r="C1514" i="59" l="1"/>
  <c r="D1514" i="59" s="1"/>
  <c r="D1513" i="59"/>
  <c r="C1513" i="59"/>
  <c r="B1514" i="59"/>
  <c r="B1515" i="59" s="1"/>
  <c r="C1516" i="59" l="1"/>
  <c r="D1516" i="59" s="1"/>
  <c r="D1515" i="59"/>
  <c r="B1516" i="59"/>
  <c r="B1517" i="59" s="1"/>
  <c r="C1515" i="59"/>
  <c r="C1518" i="59" l="1"/>
  <c r="D1518" i="59" s="1"/>
  <c r="D1517" i="59"/>
  <c r="C1517" i="59"/>
  <c r="B1518" i="59"/>
  <c r="B1519" i="59" s="1"/>
  <c r="C1520" i="59" l="1"/>
  <c r="D1520" i="59" s="1"/>
  <c r="D1519" i="59"/>
  <c r="C1519" i="59"/>
  <c r="B1520" i="59"/>
  <c r="B1521" i="59" s="1"/>
  <c r="C1522" i="59" l="1"/>
  <c r="D1522" i="59" s="1"/>
  <c r="D1521" i="59"/>
  <c r="B1522" i="59"/>
  <c r="B1523" i="59" s="1"/>
  <c r="C1521" i="59"/>
  <c r="C1524" i="59" l="1"/>
  <c r="D1524" i="59" s="1"/>
  <c r="D1523" i="59"/>
  <c r="C1523" i="59"/>
  <c r="B1524" i="59"/>
  <c r="B1525" i="59" s="1"/>
  <c r="C1526" i="59" l="1"/>
  <c r="D1526" i="59" s="1"/>
  <c r="D1525" i="59"/>
  <c r="B1526" i="59"/>
  <c r="B1527" i="59" s="1"/>
  <c r="C1525" i="59"/>
  <c r="C1528" i="59" l="1"/>
  <c r="D1528" i="59" s="1"/>
  <c r="D1527" i="59"/>
  <c r="C1527" i="59"/>
  <c r="B1528" i="59"/>
  <c r="B1529" i="59" s="1"/>
  <c r="C1530" i="59" l="1"/>
  <c r="D1530" i="59" s="1"/>
  <c r="D1529" i="59"/>
  <c r="B1530" i="59"/>
  <c r="B1531" i="59" s="1"/>
  <c r="C1529" i="59"/>
  <c r="C1532" i="59" l="1"/>
  <c r="D1532" i="59" s="1"/>
  <c r="D1531" i="59"/>
  <c r="C1531" i="59"/>
  <c r="B1532" i="59"/>
  <c r="B1533" i="59" s="1"/>
  <c r="C1534" i="59" l="1"/>
  <c r="D1534" i="59" s="1"/>
  <c r="D1533" i="59"/>
  <c r="B1534" i="59"/>
  <c r="B1535" i="59" s="1"/>
  <c r="C1533" i="59"/>
  <c r="C1536" i="59" l="1"/>
  <c r="D1536" i="59" s="1"/>
  <c r="D1535" i="59"/>
  <c r="C1535" i="59"/>
  <c r="B1536" i="59"/>
  <c r="B1537" i="59" s="1"/>
  <c r="C1538" i="59" l="1"/>
  <c r="D1538" i="59" s="1"/>
  <c r="D1537" i="59"/>
  <c r="B1538" i="59"/>
  <c r="B1539" i="59" s="1"/>
  <c r="C1537" i="59"/>
  <c r="C1540" i="59" l="1"/>
  <c r="D1540" i="59" s="1"/>
  <c r="D1539" i="59"/>
  <c r="C1539" i="59"/>
  <c r="B1540" i="59"/>
  <c r="B1541" i="59" s="1"/>
  <c r="C1542" i="59" l="1"/>
  <c r="D1542" i="59" s="1"/>
  <c r="D1541" i="59"/>
  <c r="B1542" i="59"/>
  <c r="B1543" i="59" s="1"/>
  <c r="C1541" i="59"/>
  <c r="C1544" i="59" l="1"/>
  <c r="D1544" i="59" s="1"/>
  <c r="D1543" i="59"/>
  <c r="C1543" i="59"/>
  <c r="B1544" i="59"/>
  <c r="B1545" i="59" s="1"/>
  <c r="C1546" i="59" l="1"/>
  <c r="D1546" i="59" s="1"/>
  <c r="D1545" i="59"/>
  <c r="B1546" i="59"/>
  <c r="B1547" i="59" s="1"/>
  <c r="C1545" i="59"/>
  <c r="C1548" i="59" l="1"/>
  <c r="D1548" i="59" s="1"/>
  <c r="D1547" i="59"/>
  <c r="B1548" i="59"/>
  <c r="B1549" i="59" s="1"/>
  <c r="C1547" i="59"/>
  <c r="C1550" i="59" l="1"/>
  <c r="D1550" i="59" s="1"/>
  <c r="D1549" i="59"/>
  <c r="C1549" i="59"/>
  <c r="B1550" i="59"/>
  <c r="B1551" i="59" s="1"/>
  <c r="C1552" i="59" l="1"/>
  <c r="D1552" i="59" s="1"/>
  <c r="D1551" i="59"/>
  <c r="B1552" i="59"/>
  <c r="B1553" i="59" s="1"/>
  <c r="C1551" i="59"/>
  <c r="C1554" i="59" l="1"/>
  <c r="D1554" i="59" s="1"/>
  <c r="D1553" i="59"/>
  <c r="C1553" i="59"/>
  <c r="B1554" i="59"/>
  <c r="B1555" i="59" s="1"/>
  <c r="C1556" i="59" l="1"/>
  <c r="D1556" i="59" s="1"/>
  <c r="D1555" i="59"/>
  <c r="B1556" i="59"/>
  <c r="B1557" i="59" s="1"/>
  <c r="C1555" i="59"/>
  <c r="C1558" i="59" l="1"/>
  <c r="D1558" i="59" s="1"/>
  <c r="D1557" i="59"/>
  <c r="C1557" i="59"/>
  <c r="B1558" i="59"/>
  <c r="B1559" i="59" s="1"/>
  <c r="C1560" i="59" l="1"/>
  <c r="D1560" i="59" s="1"/>
  <c r="D1559" i="59"/>
  <c r="B1560" i="59"/>
  <c r="B1561" i="59" s="1"/>
  <c r="C1559" i="59"/>
  <c r="C1562" i="59" l="1"/>
  <c r="D1562" i="59" s="1"/>
  <c r="D1561" i="59"/>
  <c r="C1561" i="59"/>
  <c r="B1562" i="59"/>
  <c r="B1563" i="59" s="1"/>
  <c r="C1564" i="59" l="1"/>
  <c r="D1564" i="59" s="1"/>
  <c r="D1563" i="59"/>
  <c r="B1564" i="59"/>
  <c r="B1565" i="59" s="1"/>
  <c r="C1563" i="59"/>
  <c r="C1566" i="59" l="1"/>
  <c r="D1566" i="59" s="1"/>
  <c r="D1565" i="59"/>
  <c r="C1565" i="59"/>
  <c r="B1566" i="59"/>
  <c r="B1567" i="59" s="1"/>
  <c r="C1568" i="59" l="1"/>
  <c r="D1568" i="59" s="1"/>
  <c r="D1567" i="59"/>
  <c r="B1568" i="59"/>
  <c r="B1569" i="59" s="1"/>
  <c r="C1567" i="59"/>
  <c r="C1570" i="59" l="1"/>
  <c r="D1570" i="59" s="1"/>
  <c r="D1569" i="59"/>
  <c r="C1569" i="59"/>
  <c r="B1570" i="59"/>
  <c r="B1571" i="59" s="1"/>
  <c r="C1572" i="59" l="1"/>
  <c r="D1572" i="59" s="1"/>
  <c r="D1571" i="59"/>
  <c r="B1572" i="59"/>
  <c r="B1573" i="59" s="1"/>
  <c r="C1571" i="59"/>
  <c r="C1574" i="59" l="1"/>
  <c r="D1574" i="59" s="1"/>
  <c r="D1573" i="59"/>
  <c r="C1573" i="59"/>
  <c r="B1574" i="59"/>
  <c r="B1575" i="59" s="1"/>
  <c r="C1576" i="59" l="1"/>
  <c r="D1576" i="59" s="1"/>
  <c r="D1575" i="59"/>
  <c r="B1576" i="59"/>
  <c r="B1577" i="59" s="1"/>
  <c r="C1575" i="59"/>
  <c r="C1578" i="59" l="1"/>
  <c r="D1578" i="59" s="1"/>
  <c r="D1577" i="59"/>
  <c r="C1577" i="59"/>
  <c r="B1578" i="59"/>
  <c r="B1579" i="59" s="1"/>
  <c r="C1580" i="59" l="1"/>
  <c r="D1580" i="59" s="1"/>
  <c r="D1579" i="59"/>
  <c r="B1580" i="59"/>
  <c r="B1581" i="59" s="1"/>
  <c r="C1579" i="59"/>
  <c r="C1582" i="59" l="1"/>
  <c r="D1582" i="59" s="1"/>
  <c r="D1581" i="59"/>
  <c r="C1581" i="59"/>
  <c r="B1582" i="59"/>
  <c r="B1583" i="59" s="1"/>
  <c r="C1584" i="59" l="1"/>
  <c r="D1584" i="59" s="1"/>
  <c r="D1583" i="59"/>
  <c r="B1584" i="59"/>
  <c r="B1585" i="59" s="1"/>
  <c r="C1583" i="59"/>
  <c r="C1586" i="59" l="1"/>
  <c r="D1586" i="59" s="1"/>
  <c r="D1585" i="59"/>
  <c r="C1585" i="59"/>
  <c r="B1586" i="59"/>
  <c r="B1587" i="59" s="1"/>
  <c r="C1588" i="59" l="1"/>
  <c r="D1588" i="59" s="1"/>
  <c r="D1587" i="59"/>
  <c r="B1588" i="59"/>
  <c r="B1589" i="59" s="1"/>
  <c r="C1587" i="59"/>
  <c r="C1590" i="59" l="1"/>
  <c r="D1590" i="59" s="1"/>
  <c r="D1589" i="59"/>
  <c r="C1589" i="59"/>
  <c r="B1590" i="59"/>
  <c r="B1591" i="59" s="1"/>
  <c r="C1592" i="59" l="1"/>
  <c r="D1592" i="59" s="1"/>
  <c r="D1591" i="59"/>
  <c r="B1592" i="59"/>
  <c r="B1593" i="59" s="1"/>
  <c r="C1591" i="59"/>
  <c r="C1594" i="59" l="1"/>
  <c r="D1594" i="59" s="1"/>
  <c r="D1593" i="59"/>
  <c r="C1593" i="59"/>
  <c r="B1594" i="59"/>
  <c r="B1595" i="59" s="1"/>
  <c r="C1596" i="59" l="1"/>
  <c r="D1596" i="59" s="1"/>
  <c r="D1595" i="59"/>
  <c r="B1596" i="59"/>
  <c r="B1597" i="59" s="1"/>
  <c r="C1595" i="59"/>
  <c r="C1598" i="59" l="1"/>
  <c r="D1598" i="59" s="1"/>
  <c r="D1597" i="59"/>
  <c r="C1597" i="59"/>
  <c r="B1598" i="59"/>
  <c r="B1599" i="59" s="1"/>
  <c r="C1600" i="59" l="1"/>
  <c r="D1600" i="59" s="1"/>
  <c r="D1599" i="59"/>
  <c r="B1600" i="59"/>
  <c r="B1601" i="59" s="1"/>
  <c r="C1599" i="59"/>
  <c r="C1602" i="59" l="1"/>
  <c r="D1602" i="59" s="1"/>
  <c r="D1601" i="59"/>
  <c r="C1601" i="59"/>
  <c r="B1602" i="59"/>
  <c r="B1603" i="59" s="1"/>
  <c r="D1603" i="59" l="1"/>
  <c r="C1603" i="59"/>
  <c r="K26" i="57" l="1"/>
  <c r="G26" i="57"/>
  <c r="B26" i="57"/>
  <c r="K25" i="57"/>
  <c r="G25" i="57"/>
  <c r="K24" i="57"/>
  <c r="G24" i="57"/>
  <c r="K23" i="57"/>
  <c r="G23" i="57"/>
  <c r="K22" i="57"/>
  <c r="G22" i="57"/>
  <c r="K21" i="57"/>
  <c r="G21" i="57"/>
  <c r="N3" i="58"/>
  <c r="Z23" i="58"/>
  <c r="C23" i="58"/>
  <c r="B23" i="58"/>
  <c r="Z22" i="58"/>
  <c r="C22" i="58"/>
  <c r="B22" i="58"/>
  <c r="Z21" i="58"/>
  <c r="C21" i="58"/>
  <c r="B21" i="58"/>
  <c r="Z20" i="58"/>
  <c r="C20" i="58"/>
  <c r="B20" i="58"/>
  <c r="Z19" i="58"/>
  <c r="C19" i="58"/>
  <c r="B19" i="58"/>
  <c r="Z18" i="58"/>
  <c r="C18" i="58"/>
  <c r="B18" i="58"/>
  <c r="J26" i="57"/>
  <c r="A7" i="58"/>
  <c r="J25" i="57"/>
  <c r="J24" i="57"/>
  <c r="J22" i="57"/>
  <c r="A8" i="58" l="1"/>
  <c r="D8" i="58" s="1"/>
  <c r="N4" i="58"/>
  <c r="E3" i="58"/>
  <c r="F3" i="58" s="1"/>
  <c r="G3" i="58" s="1"/>
  <c r="H3" i="58" s="1"/>
  <c r="I3" i="58" s="1"/>
  <c r="J3" i="58" s="1"/>
  <c r="K3" i="58" s="1"/>
  <c r="L3" i="58" s="1"/>
  <c r="M3" i="58" s="1"/>
  <c r="AB7" i="58"/>
  <c r="AC7" i="58" s="1"/>
  <c r="P25" i="57"/>
  <c r="A6" i="58"/>
  <c r="AB6" i="58" s="1"/>
  <c r="AC6" i="58" s="1"/>
  <c r="P26" i="57"/>
  <c r="J23" i="57"/>
  <c r="AB8" i="58" l="1"/>
  <c r="AC8" i="58" s="1"/>
  <c r="D6" i="58"/>
  <c r="N5" i="58"/>
  <c r="E4" i="58"/>
  <c r="F4" i="58" s="1"/>
  <c r="G4" i="58" s="1"/>
  <c r="H4" i="58" s="1"/>
  <c r="I4" i="58" s="1"/>
  <c r="J4" i="58" s="1"/>
  <c r="K4" i="58" s="1"/>
  <c r="L4" i="58" s="1"/>
  <c r="M4" i="58" s="1"/>
  <c r="P24" i="57"/>
  <c r="A4" i="58" l="1"/>
  <c r="P22" i="57"/>
  <c r="P23" i="57"/>
  <c r="A5" i="58"/>
  <c r="N6" i="58"/>
  <c r="E5" i="58"/>
  <c r="F5" i="58" s="1"/>
  <c r="G5" i="58" s="1"/>
  <c r="H5" i="58" s="1"/>
  <c r="I5" i="58" s="1"/>
  <c r="J5" i="58" s="1"/>
  <c r="K5" i="58" s="1"/>
  <c r="L5" i="58" s="1"/>
  <c r="M5" i="58" s="1"/>
  <c r="AB4" i="58" l="1"/>
  <c r="AC4" i="58" s="1"/>
  <c r="P21" i="57"/>
  <c r="A3" i="58"/>
  <c r="AB5" i="58"/>
  <c r="AC5" i="58" s="1"/>
  <c r="D5" i="58"/>
  <c r="N7" i="58"/>
  <c r="E6" i="58"/>
  <c r="F6" i="58" s="1"/>
  <c r="G6" i="58" s="1"/>
  <c r="H6" i="58" s="1"/>
  <c r="I6" i="58" s="1"/>
  <c r="J6" i="58" s="1"/>
  <c r="K6" i="58" s="1"/>
  <c r="L6" i="58" s="1"/>
  <c r="M6" i="58" s="1"/>
  <c r="AB3" i="58" l="1"/>
  <c r="AC3" i="58" s="1"/>
  <c r="N8" i="58"/>
  <c r="E7" i="58"/>
  <c r="F7" i="58" s="1"/>
  <c r="G7" i="58" s="1"/>
  <c r="H7" i="58" s="1"/>
  <c r="I7" i="58" s="1"/>
  <c r="J7" i="58" s="1"/>
  <c r="K7" i="58" s="1"/>
  <c r="L7" i="58" s="1"/>
  <c r="M7" i="58" s="1"/>
  <c r="E8" i="58" l="1"/>
  <c r="F8" i="58" s="1"/>
  <c r="G8" i="58" s="1"/>
  <c r="H8" i="58" s="1"/>
  <c r="I8" i="58" s="1"/>
  <c r="J8" i="58" s="1"/>
  <c r="K8" i="58" s="1"/>
  <c r="L8" i="58" s="1"/>
  <c r="M8" i="58" s="1"/>
  <c r="E74" i="34" l="1"/>
  <c r="G53" i="34" s="1"/>
  <c r="D74" i="34"/>
  <c r="E74" i="29"/>
  <c r="D74" i="29"/>
  <c r="W22" i="28"/>
  <c r="Y3" i="28"/>
  <c r="Y4" i="28"/>
  <c r="Y5" i="28"/>
  <c r="Y6" i="28"/>
  <c r="Y7" i="28"/>
  <c r="Y8" i="28"/>
  <c r="Y9" i="28"/>
  <c r="Y10" i="28"/>
  <c r="Y11" i="28"/>
  <c r="Y12" i="28"/>
  <c r="Y13" i="28"/>
  <c r="Y14" i="28"/>
  <c r="Y15" i="28"/>
  <c r="Y16" i="28"/>
  <c r="Y17" i="28"/>
  <c r="Y18" i="28"/>
  <c r="Y19" i="28"/>
  <c r="Y20" i="28"/>
  <c r="Y21" i="28"/>
  <c r="Y22" i="28"/>
  <c r="Y2" i="28"/>
  <c r="G71" i="34" l="1"/>
  <c r="G54" i="34"/>
  <c r="G52" i="34"/>
  <c r="H76" i="56"/>
  <c r="H4" i="37"/>
  <c r="J4" i="37"/>
  <c r="L4" i="37"/>
  <c r="N4" i="37"/>
  <c r="P4" i="37"/>
  <c r="R4" i="37"/>
  <c r="T4" i="37"/>
  <c r="V4" i="37"/>
  <c r="X4" i="37"/>
  <c r="Z4" i="37"/>
  <c r="I4" i="37"/>
  <c r="K4" i="37"/>
  <c r="M4" i="37"/>
  <c r="O4" i="37"/>
  <c r="Q4" i="37"/>
  <c r="S4" i="37"/>
  <c r="U4" i="37"/>
  <c r="W4" i="37"/>
  <c r="Y4" i="37"/>
  <c r="AA4" i="37"/>
  <c r="C4" i="37"/>
  <c r="E4" i="37"/>
  <c r="G4" i="37"/>
  <c r="D4" i="37"/>
  <c r="F4" i="37"/>
  <c r="B4" i="37"/>
  <c r="E77" i="56" l="1"/>
  <c r="F53" i="34"/>
  <c r="H51" i="56"/>
  <c r="C2" i="54"/>
  <c r="C8" i="54"/>
  <c r="J15" i="54" s="1"/>
  <c r="C7" i="54"/>
  <c r="C7" i="53"/>
  <c r="F48" i="29"/>
  <c r="J6" i="31"/>
  <c r="G72" i="34" l="1"/>
  <c r="E97" i="56" s="1"/>
  <c r="G68" i="34"/>
  <c r="E93" i="56" s="1"/>
  <c r="G64" i="34"/>
  <c r="E89" i="56" s="1"/>
  <c r="G60" i="34"/>
  <c r="E85" i="56" s="1"/>
  <c r="G56" i="34"/>
  <c r="E81" i="56" s="1"/>
  <c r="G70" i="34"/>
  <c r="E95" i="56" s="1"/>
  <c r="G66" i="34"/>
  <c r="E91" i="56" s="1"/>
  <c r="G62" i="34"/>
  <c r="E87" i="56" s="1"/>
  <c r="G58" i="34"/>
  <c r="E83" i="56" s="1"/>
  <c r="E79" i="56"/>
  <c r="E96" i="56"/>
  <c r="G69" i="34"/>
  <c r="E94" i="56" s="1"/>
  <c r="G67" i="34"/>
  <c r="E92" i="56" s="1"/>
  <c r="G65" i="34"/>
  <c r="E90" i="56" s="1"/>
  <c r="G63" i="34"/>
  <c r="E88" i="56" s="1"/>
  <c r="G61" i="34"/>
  <c r="E86" i="56" s="1"/>
  <c r="G59" i="34"/>
  <c r="E84" i="56" s="1"/>
  <c r="G57" i="34"/>
  <c r="E82" i="56" s="1"/>
  <c r="G55" i="34"/>
  <c r="E80" i="56" s="1"/>
  <c r="E78" i="56"/>
  <c r="F52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G53" i="29"/>
  <c r="F53" i="29" l="1"/>
  <c r="F52" i="29"/>
  <c r="G72" i="29"/>
  <c r="G70" i="29"/>
  <c r="G68" i="29"/>
  <c r="G66" i="29"/>
  <c r="G64" i="29"/>
  <c r="G62" i="29"/>
  <c r="G60" i="29"/>
  <c r="G58" i="29"/>
  <c r="G56" i="29"/>
  <c r="G54" i="29"/>
  <c r="G52" i="29"/>
  <c r="G71" i="29"/>
  <c r="G69" i="29"/>
  <c r="G67" i="29"/>
  <c r="G65" i="29"/>
  <c r="G63" i="29"/>
  <c r="G61" i="29"/>
  <c r="G59" i="29"/>
  <c r="G57" i="29"/>
  <c r="G55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D7" i="58"/>
  <c r="H3" i="56"/>
  <c r="A28" i="56" l="1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27" i="56"/>
  <c r="F67" i="28"/>
  <c r="F68" i="28"/>
  <c r="F69" i="28"/>
  <c r="D71" i="28"/>
  <c r="E71" i="28"/>
  <c r="G67" i="28" s="1"/>
  <c r="G69" i="28" l="1"/>
  <c r="G68" i="28"/>
  <c r="D5" i="35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49" i="28"/>
  <c r="G52" i="28"/>
  <c r="D4" i="35"/>
  <c r="D6" i="35"/>
  <c r="D3" i="35"/>
  <c r="G65" i="28" l="1"/>
  <c r="G61" i="28"/>
  <c r="G57" i="28"/>
  <c r="G53" i="28"/>
  <c r="G50" i="28"/>
  <c r="G49" i="28"/>
  <c r="G63" i="28"/>
  <c r="G59" i="28"/>
  <c r="G55" i="28"/>
  <c r="G51" i="28"/>
  <c r="G66" i="28"/>
  <c r="G64" i="28"/>
  <c r="G62" i="28"/>
  <c r="G60" i="28"/>
  <c r="G58" i="28"/>
  <c r="G56" i="28"/>
  <c r="G54" i="28"/>
  <c r="F15" i="54" l="1"/>
  <c r="E15" i="54"/>
  <c r="D15" i="54"/>
  <c r="C15" i="54"/>
  <c r="B15" i="54"/>
  <c r="A15" i="54"/>
  <c r="M5" i="54"/>
  <c r="E16" i="54"/>
  <c r="C2" i="53"/>
  <c r="C23" i="53" s="1"/>
  <c r="F45" i="28"/>
  <c r="M5" i="53"/>
  <c r="F22" i="53"/>
  <c r="E22" i="53"/>
  <c r="D22" i="53"/>
  <c r="C22" i="53"/>
  <c r="B22" i="53"/>
  <c r="A22" i="53"/>
  <c r="B12" i="54" l="1"/>
  <c r="F12" i="54"/>
  <c r="F16" i="54"/>
  <c r="D16" i="54"/>
  <c r="B16" i="54"/>
  <c r="E12" i="54"/>
  <c r="C12" i="54"/>
  <c r="A12" i="54"/>
  <c r="D12" i="54"/>
  <c r="C16" i="54"/>
  <c r="B19" i="53"/>
  <c r="D19" i="53"/>
  <c r="F19" i="53"/>
  <c r="D23" i="53"/>
  <c r="F23" i="53"/>
  <c r="B23" i="53"/>
  <c r="A19" i="53"/>
  <c r="C19" i="53"/>
  <c r="E19" i="53"/>
  <c r="E23" i="53"/>
  <c r="A18" i="54" l="1" a="1"/>
  <c r="A25" i="53" a="1"/>
  <c r="B19" i="24"/>
  <c r="AT31" i="42"/>
  <c r="D6" i="30"/>
  <c r="B3" i="30"/>
  <c r="B2" i="30"/>
  <c r="C24" i="51"/>
  <c r="B46" i="49"/>
  <c r="F46" i="49" s="1"/>
  <c r="B45" i="49"/>
  <c r="F45" i="49" s="1"/>
  <c r="BC24" i="42"/>
  <c r="BL24" i="42" s="1"/>
  <c r="BP24" i="42" s="1"/>
  <c r="BT24" i="42" s="1"/>
  <c r="B42" i="49"/>
  <c r="E25" i="49"/>
  <c r="E24" i="49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45" i="2"/>
  <c r="K34" i="19"/>
  <c r="P42" i="34"/>
  <c r="P40" i="34"/>
  <c r="J42" i="34"/>
  <c r="E42" i="34"/>
  <c r="D35" i="34"/>
  <c r="G35" i="34"/>
  <c r="L42" i="29"/>
  <c r="J42" i="29"/>
  <c r="F43" i="28"/>
  <c r="D17" i="35"/>
  <c r="M37" i="28" s="1"/>
  <c r="A26" i="50"/>
  <c r="A25" i="50"/>
  <c r="F27" i="2"/>
  <c r="G27" i="2" s="1"/>
  <c r="B18" i="24"/>
  <c r="H29" i="2" s="1"/>
  <c r="B17" i="24"/>
  <c r="M13" i="2" s="1"/>
  <c r="G12" i="2"/>
  <c r="G13" i="2" s="1"/>
  <c r="L13" i="2" s="1"/>
  <c r="B16" i="24"/>
  <c r="F28" i="2"/>
  <c r="G28" i="2" s="1"/>
  <c r="B45" i="2"/>
  <c r="C3" i="50"/>
  <c r="F34" i="2"/>
  <c r="G34" i="2" s="1"/>
  <c r="F32" i="2"/>
  <c r="G32" i="2" s="1"/>
  <c r="G33" i="2" s="1"/>
  <c r="M30" i="2"/>
  <c r="U32" i="2" s="1"/>
  <c r="U34" i="2"/>
  <c r="F4" i="50"/>
  <c r="F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3" i="50"/>
  <c r="A2" i="50"/>
  <c r="C2" i="50"/>
  <c r="C50" i="2"/>
  <c r="D8" i="50" s="1"/>
  <c r="C51" i="2"/>
  <c r="D9" i="50" s="1"/>
  <c r="A3" i="50"/>
  <c r="A4" i="50"/>
  <c r="A5" i="50"/>
  <c r="A6" i="50"/>
  <c r="A7" i="50"/>
  <c r="A8" i="50"/>
  <c r="A9" i="50"/>
  <c r="A10" i="50"/>
  <c r="A11" i="50"/>
  <c r="A12" i="50"/>
  <c r="A13" i="50"/>
  <c r="A14" i="50"/>
  <c r="A15" i="50"/>
  <c r="A1" i="50"/>
  <c r="B5" i="49"/>
  <c r="M38" i="28"/>
  <c r="J6" i="27" s="1"/>
  <c r="B3" i="49"/>
  <c r="B4" i="49"/>
  <c r="B2" i="49"/>
  <c r="B32" i="49" s="1"/>
  <c r="B43" i="46"/>
  <c r="D43" i="46"/>
  <c r="B42" i="46"/>
  <c r="Z21" i="47"/>
  <c r="T17" i="47"/>
  <c r="S17" i="47"/>
  <c r="R17" i="47"/>
  <c r="R21" i="47" s="1"/>
  <c r="S21" i="47" s="1"/>
  <c r="T21" i="47" s="1"/>
  <c r="U21" i="47" s="1"/>
  <c r="V21" i="47" s="1"/>
  <c r="W21" i="47" s="1"/>
  <c r="X21" i="47" s="1"/>
  <c r="Q17" i="47"/>
  <c r="Q21" i="47" s="1"/>
  <c r="P17" i="47"/>
  <c r="P21" i="47" s="1"/>
  <c r="O17" i="47"/>
  <c r="O21" i="47" s="1"/>
  <c r="N17" i="47"/>
  <c r="N21" i="47" s="1"/>
  <c r="M17" i="47"/>
  <c r="M21" i="47" s="1"/>
  <c r="L17" i="47"/>
  <c r="L21" i="47" s="1"/>
  <c r="K17" i="47"/>
  <c r="K21" i="47" s="1"/>
  <c r="J17" i="47"/>
  <c r="J21" i="47" s="1"/>
  <c r="I17" i="47"/>
  <c r="I21" i="47" s="1"/>
  <c r="H17" i="47"/>
  <c r="H21" i="47" s="1"/>
  <c r="G17" i="47"/>
  <c r="G21" i="47" s="1"/>
  <c r="F17" i="47"/>
  <c r="F21" i="47" s="1"/>
  <c r="E17" i="47"/>
  <c r="E21" i="47" s="1"/>
  <c r="D17" i="47"/>
  <c r="D21" i="47" s="1"/>
  <c r="C17" i="47"/>
  <c r="C21" i="47" s="1"/>
  <c r="I7" i="47"/>
  <c r="AN6" i="47"/>
  <c r="AM6" i="47"/>
  <c r="AL6" i="47"/>
  <c r="AK6" i="47"/>
  <c r="AJ6" i="47"/>
  <c r="AI6" i="47"/>
  <c r="AH6" i="47"/>
  <c r="AG6" i="47"/>
  <c r="AF6" i="47"/>
  <c r="AE6" i="47"/>
  <c r="AD6" i="47"/>
  <c r="AC6" i="47"/>
  <c r="AB6" i="47"/>
  <c r="AA6" i="47"/>
  <c r="Z6" i="47"/>
  <c r="Y6" i="47"/>
  <c r="X6" i="47"/>
  <c r="W6" i="47"/>
  <c r="AN5" i="47"/>
  <c r="AM5" i="47"/>
  <c r="AL5" i="47"/>
  <c r="AK5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AN4" i="47"/>
  <c r="AM4" i="47"/>
  <c r="AL4" i="47"/>
  <c r="AK4" i="47"/>
  <c r="Q10" i="47" s="1"/>
  <c r="AJ4" i="47"/>
  <c r="AI4" i="47"/>
  <c r="O10" i="47" s="1"/>
  <c r="AH4" i="47"/>
  <c r="AG4" i="47"/>
  <c r="M10" i="47" s="1"/>
  <c r="AF4" i="47"/>
  <c r="AE4" i="47"/>
  <c r="AD4" i="47"/>
  <c r="AC4" i="47"/>
  <c r="I10" i="47" s="1"/>
  <c r="AB4" i="47"/>
  <c r="AA4" i="47"/>
  <c r="G10" i="47" s="1"/>
  <c r="Z4" i="47"/>
  <c r="Y4" i="47"/>
  <c r="E10" i="47" s="1"/>
  <c r="X4" i="47"/>
  <c r="W4" i="47"/>
  <c r="AN3" i="47"/>
  <c r="AM3" i="47"/>
  <c r="S10" i="47" s="1"/>
  <c r="AL3" i="47"/>
  <c r="AK3" i="47"/>
  <c r="AJ3" i="47"/>
  <c r="AI3" i="47"/>
  <c r="AH3" i="47"/>
  <c r="AG3" i="47"/>
  <c r="AF3" i="47"/>
  <c r="AE3" i="47"/>
  <c r="AD3" i="47"/>
  <c r="J10" i="47" s="1"/>
  <c r="AC3" i="47"/>
  <c r="AB3" i="47"/>
  <c r="AA3" i="47"/>
  <c r="Z3" i="47"/>
  <c r="Y3" i="47"/>
  <c r="X3" i="47"/>
  <c r="W3" i="47"/>
  <c r="K3" i="47"/>
  <c r="J3" i="47"/>
  <c r="J7" i="47"/>
  <c r="C1" i="47"/>
  <c r="AX1" i="42"/>
  <c r="AX23" i="42"/>
  <c r="AV22" i="42"/>
  <c r="AT32" i="42"/>
  <c r="AT28" i="42"/>
  <c r="B19" i="49" s="1"/>
  <c r="B24" i="49" s="1"/>
  <c r="D42" i="46"/>
  <c r="C42" i="46"/>
  <c r="B41" i="46"/>
  <c r="C43" i="46"/>
  <c r="A116" i="47" s="1"/>
  <c r="C41" i="46"/>
  <c r="T10" i="47"/>
  <c r="B22" i="42"/>
  <c r="C22" i="42"/>
  <c r="D22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BJ22" i="42"/>
  <c r="BL22" i="42" s="1"/>
  <c r="A2" i="42"/>
  <c r="A3" i="42"/>
  <c r="A4" i="42"/>
  <c r="A5" i="42"/>
  <c r="A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T51" i="36"/>
  <c r="D20" i="19"/>
  <c r="B40" i="46"/>
  <c r="D41" i="46"/>
  <c r="A115" i="47"/>
  <c r="A114" i="47"/>
  <c r="AX141" i="18"/>
  <c r="A1" i="37"/>
  <c r="B1" i="37"/>
  <c r="B3" i="20"/>
  <c r="B9" i="20" s="1"/>
  <c r="D40" i="46"/>
  <c r="D11" i="35"/>
  <c r="U34" i="19" s="1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D42" i="2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38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 s="1"/>
  <c r="T21" i="18" s="1"/>
  <c r="U21" i="18" s="1"/>
  <c r="V21" i="18" s="1"/>
  <c r="W21" i="18" s="1"/>
  <c r="X21" i="18" s="1"/>
  <c r="Z21" i="18"/>
  <c r="B7" i="30"/>
  <c r="B5" i="30"/>
  <c r="B11" i="30" s="1"/>
  <c r="P41" i="34"/>
  <c r="B5" i="32" s="1"/>
  <c r="H2" i="32"/>
  <c r="E15" i="33"/>
  <c r="D15" i="33"/>
  <c r="A15" i="33"/>
  <c r="E14" i="33"/>
  <c r="B14" i="33"/>
  <c r="E13" i="33"/>
  <c r="E12" i="33"/>
  <c r="D12" i="33"/>
  <c r="A17" i="33" s="1" a="1"/>
  <c r="C21" i="33" s="1"/>
  <c r="F10" i="32"/>
  <c r="E10" i="32"/>
  <c r="D10" i="32"/>
  <c r="C10" i="32"/>
  <c r="B10" i="32"/>
  <c r="A10" i="32"/>
  <c r="F9" i="32"/>
  <c r="E9" i="32"/>
  <c r="D9" i="32"/>
  <c r="C9" i="32"/>
  <c r="B9" i="32"/>
  <c r="A9" i="32"/>
  <c r="F8" i="32"/>
  <c r="E8" i="32"/>
  <c r="D8" i="32"/>
  <c r="C8" i="32"/>
  <c r="F7" i="32"/>
  <c r="E7" i="32"/>
  <c r="D7" i="32"/>
  <c r="C7" i="32"/>
  <c r="B7" i="32"/>
  <c r="A7" i="32"/>
  <c r="A13" i="32" s="1" a="1"/>
  <c r="D17" i="32"/>
  <c r="F14" i="32"/>
  <c r="A18" i="32"/>
  <c r="C15" i="32"/>
  <c r="F10" i="31"/>
  <c r="E10" i="31"/>
  <c r="D10" i="31"/>
  <c r="C10" i="31"/>
  <c r="B10" i="31"/>
  <c r="A10" i="31"/>
  <c r="F9" i="31"/>
  <c r="E9" i="31"/>
  <c r="D9" i="31"/>
  <c r="C9" i="31"/>
  <c r="B9" i="31"/>
  <c r="A9" i="31"/>
  <c r="F8" i="31"/>
  <c r="E8" i="31"/>
  <c r="D8" i="31"/>
  <c r="C8" i="31"/>
  <c r="F7" i="31"/>
  <c r="E7" i="31"/>
  <c r="D7" i="31"/>
  <c r="C7" i="31"/>
  <c r="B7" i="31"/>
  <c r="A7" i="31"/>
  <c r="A13" i="31" a="1"/>
  <c r="E17" i="30"/>
  <c r="D17" i="30"/>
  <c r="A17" i="30"/>
  <c r="E16" i="30"/>
  <c r="B16" i="30"/>
  <c r="E15" i="30"/>
  <c r="E14" i="30"/>
  <c r="D14" i="30"/>
  <c r="A19" i="30" s="1" a="1"/>
  <c r="E23" i="30" s="1"/>
  <c r="F42" i="29"/>
  <c r="D42" i="29"/>
  <c r="B2" i="27"/>
  <c r="G37" i="28"/>
  <c r="J37" i="28"/>
  <c r="J40" i="34" s="1"/>
  <c r="D37" i="28"/>
  <c r="E18" i="31"/>
  <c r="C17" i="31"/>
  <c r="A16" i="31"/>
  <c r="E14" i="31"/>
  <c r="C13" i="31"/>
  <c r="B18" i="31"/>
  <c r="F16" i="31"/>
  <c r="D15" i="31"/>
  <c r="B14" i="31"/>
  <c r="F10" i="27"/>
  <c r="E10" i="27"/>
  <c r="D10" i="27"/>
  <c r="C10" i="27"/>
  <c r="B10" i="27"/>
  <c r="A10" i="27"/>
  <c r="F9" i="27"/>
  <c r="E9" i="27"/>
  <c r="D9" i="27"/>
  <c r="C9" i="27"/>
  <c r="B9" i="27"/>
  <c r="A9" i="27"/>
  <c r="F8" i="27"/>
  <c r="E8" i="27"/>
  <c r="D8" i="27"/>
  <c r="C8" i="27"/>
  <c r="F7" i="27"/>
  <c r="E7" i="27"/>
  <c r="D7" i="27"/>
  <c r="C7" i="27"/>
  <c r="B7" i="27"/>
  <c r="A7" i="27"/>
  <c r="A13" i="27" a="1"/>
  <c r="F7" i="26"/>
  <c r="E7" i="26"/>
  <c r="D7" i="26"/>
  <c r="C7" i="26"/>
  <c r="B7" i="26"/>
  <c r="A7" i="26"/>
  <c r="F6" i="26"/>
  <c r="E6" i="26"/>
  <c r="D6" i="26"/>
  <c r="C6" i="26"/>
  <c r="B6" i="26"/>
  <c r="A6" i="26"/>
  <c r="F5" i="26"/>
  <c r="E5" i="26"/>
  <c r="D5" i="26"/>
  <c r="C5" i="26"/>
  <c r="F4" i="26"/>
  <c r="E4" i="26"/>
  <c r="D4" i="26"/>
  <c r="C4" i="26"/>
  <c r="B4" i="26"/>
  <c r="A4" i="26"/>
  <c r="A10" i="26" a="1"/>
  <c r="F14" i="26"/>
  <c r="E6" i="25"/>
  <c r="D6" i="25"/>
  <c r="A6" i="25"/>
  <c r="E5" i="25"/>
  <c r="B5" i="25"/>
  <c r="E4" i="25"/>
  <c r="E3" i="25"/>
  <c r="D3" i="25"/>
  <c r="A8" i="25" a="1"/>
  <c r="C12" i="25" s="1"/>
  <c r="H16" i="24"/>
  <c r="F29" i="2" s="1"/>
  <c r="K28" i="2" s="1"/>
  <c r="B2" i="20"/>
  <c r="C39" i="20" s="1"/>
  <c r="B4" i="20"/>
  <c r="B5" i="20"/>
  <c r="D12" i="20"/>
  <c r="E12" i="20"/>
  <c r="E13" i="20"/>
  <c r="B14" i="20"/>
  <c r="E14" i="20"/>
  <c r="A15" i="20"/>
  <c r="D15" i="20"/>
  <c r="E15" i="20"/>
  <c r="K35" i="19"/>
  <c r="C33" i="26" s="1"/>
  <c r="O34" i="19"/>
  <c r="O35" i="19"/>
  <c r="R34" i="19"/>
  <c r="R35" i="19"/>
  <c r="U35" i="19"/>
  <c r="I2" i="25" s="1"/>
  <c r="C1" i="18"/>
  <c r="W3" i="18"/>
  <c r="X3" i="18"/>
  <c r="Y3" i="18"/>
  <c r="Z3" i="18"/>
  <c r="AA3" i="18"/>
  <c r="AB3" i="18"/>
  <c r="H10" i="18" s="1"/>
  <c r="AC3" i="18"/>
  <c r="AD3" i="18"/>
  <c r="AE3" i="18"/>
  <c r="AF3" i="18"/>
  <c r="AG3" i="18"/>
  <c r="AH3" i="18"/>
  <c r="N10" i="18" s="1"/>
  <c r="AI3" i="18"/>
  <c r="AJ3" i="18"/>
  <c r="AK3" i="18"/>
  <c r="AL3" i="18"/>
  <c r="R10" i="18" s="1"/>
  <c r="AM3" i="18"/>
  <c r="AN3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J3" i="18"/>
  <c r="J7" i="18"/>
  <c r="M7" i="18" s="1"/>
  <c r="K3" i="18"/>
  <c r="I7" i="18"/>
  <c r="C10" i="18"/>
  <c r="E10" i="18"/>
  <c r="G10" i="18"/>
  <c r="I10" i="18"/>
  <c r="K10" i="18"/>
  <c r="M10" i="18"/>
  <c r="O10" i="18"/>
  <c r="Q10" i="18"/>
  <c r="S10" i="18"/>
  <c r="C31" i="26"/>
  <c r="R23" i="2"/>
  <c r="R22" i="2"/>
  <c r="R21" i="2"/>
  <c r="R20" i="2"/>
  <c r="R19" i="2"/>
  <c r="R18" i="2"/>
  <c r="R17" i="2"/>
  <c r="R16" i="2"/>
  <c r="R15" i="2"/>
  <c r="R14" i="2"/>
  <c r="R13" i="2"/>
  <c r="F14" i="2"/>
  <c r="F15" i="2"/>
  <c r="S15" i="2" s="1"/>
  <c r="F16" i="2"/>
  <c r="S16" i="2" s="1"/>
  <c r="F17" i="2"/>
  <c r="F18" i="2"/>
  <c r="F19" i="2"/>
  <c r="S19" i="2" s="1"/>
  <c r="F20" i="2"/>
  <c r="S20" i="2" s="1"/>
  <c r="F21" i="2"/>
  <c r="F22" i="2"/>
  <c r="F23" i="2"/>
  <c r="S23" i="2" s="1"/>
  <c r="F13" i="2"/>
  <c r="S13" i="2" s="1"/>
  <c r="P12" i="2"/>
  <c r="P13" i="2" s="1"/>
  <c r="U13" i="2" s="1"/>
  <c r="P29" i="2"/>
  <c r="U33" i="2"/>
  <c r="P2" i="2"/>
  <c r="F2" i="2"/>
  <c r="P3" i="2" s="1"/>
  <c r="B8" i="20"/>
  <c r="J23" i="2"/>
  <c r="G23" i="2" s="1"/>
  <c r="L23" i="2" s="1"/>
  <c r="J19" i="2"/>
  <c r="G19" i="2" s="1"/>
  <c r="L19" i="2" s="1"/>
  <c r="J15" i="2"/>
  <c r="G15" i="2" s="1"/>
  <c r="L15" i="2" s="1"/>
  <c r="J20" i="2"/>
  <c r="G20" i="2" s="1"/>
  <c r="L20" i="2" s="1"/>
  <c r="J16" i="2"/>
  <c r="G16" i="2" s="1"/>
  <c r="L16" i="2" s="1"/>
  <c r="P20" i="2"/>
  <c r="U20" i="2" s="1"/>
  <c r="P16" i="2"/>
  <c r="U16" i="2" s="1"/>
  <c r="P23" i="2"/>
  <c r="U23" i="2" s="1"/>
  <c r="P19" i="2"/>
  <c r="U19" i="2" s="1"/>
  <c r="S30" i="2"/>
  <c r="K30" i="2"/>
  <c r="F33" i="2"/>
  <c r="G30" i="2"/>
  <c r="L30" i="2"/>
  <c r="T3" i="2"/>
  <c r="T8" i="2"/>
  <c r="T6" i="2"/>
  <c r="T7" i="2"/>
  <c r="T4" i="2"/>
  <c r="T9" i="2"/>
  <c r="T5" i="2"/>
  <c r="T10" i="2"/>
  <c r="C26" i="20"/>
  <c r="E45" i="34"/>
  <c r="C29" i="20"/>
  <c r="AV20" i="42"/>
  <c r="BI20" i="42"/>
  <c r="AV18" i="42"/>
  <c r="BI18" i="42"/>
  <c r="AV16" i="42"/>
  <c r="BI16" i="42"/>
  <c r="AV14" i="42"/>
  <c r="BI14" i="42"/>
  <c r="AV12" i="42"/>
  <c r="BI12" i="42"/>
  <c r="AZ12" i="42"/>
  <c r="AV10" i="42"/>
  <c r="AZ10" i="42"/>
  <c r="AV8" i="42"/>
  <c r="AZ8" i="42"/>
  <c r="AV6" i="42"/>
  <c r="AZ6" i="42"/>
  <c r="AV4" i="42"/>
  <c r="AZ4" i="42"/>
  <c r="AV2" i="42"/>
  <c r="BI22" i="42"/>
  <c r="AZ2" i="42"/>
  <c r="AV21" i="42"/>
  <c r="BI21" i="42"/>
  <c r="AV19" i="42"/>
  <c r="BI19" i="42"/>
  <c r="AV17" i="42"/>
  <c r="BI17" i="42"/>
  <c r="AV15" i="42"/>
  <c r="BI15" i="42"/>
  <c r="AV13" i="42"/>
  <c r="BI13" i="42"/>
  <c r="AV11" i="42"/>
  <c r="AZ11" i="42"/>
  <c r="AV9" i="42"/>
  <c r="AZ9" i="42"/>
  <c r="AV7" i="42"/>
  <c r="AZ7" i="42"/>
  <c r="AV5" i="42"/>
  <c r="AZ5" i="42"/>
  <c r="AV3" i="42"/>
  <c r="AZ3" i="42"/>
  <c r="B20" i="49"/>
  <c r="B28" i="49"/>
  <c r="E13" i="27"/>
  <c r="C16" i="27"/>
  <c r="B13" i="27"/>
  <c r="D14" i="27"/>
  <c r="F15" i="27"/>
  <c r="B17" i="27"/>
  <c r="D18" i="27"/>
  <c r="A13" i="27"/>
  <c r="C14" i="27"/>
  <c r="E15" i="27"/>
  <c r="A17" i="27"/>
  <c r="C18" i="27"/>
  <c r="F13" i="27"/>
  <c r="B15" i="27"/>
  <c r="D16" i="27"/>
  <c r="A20" i="30"/>
  <c r="C21" i="30"/>
  <c r="E19" i="30"/>
  <c r="B10" i="30"/>
  <c r="J9" i="31"/>
  <c r="J10" i="31"/>
  <c r="J7" i="31"/>
  <c r="C17" i="2"/>
  <c r="T39" i="2"/>
  <c r="K13" i="2" s="1"/>
  <c r="T40" i="2"/>
  <c r="T13" i="2" s="1"/>
  <c r="B29" i="2"/>
  <c r="A8" i="25"/>
  <c r="A11" i="25"/>
  <c r="D9" i="25"/>
  <c r="E20" i="30"/>
  <c r="A19" i="30"/>
  <c r="B22" i="30"/>
  <c r="E12" i="26"/>
  <c r="A10" i="26"/>
  <c r="F15" i="26"/>
  <c r="B15" i="26"/>
  <c r="D14" i="26"/>
  <c r="F13" i="26"/>
  <c r="B13" i="26"/>
  <c r="D12" i="26"/>
  <c r="F11" i="26"/>
  <c r="B11" i="26"/>
  <c r="D10" i="26"/>
  <c r="E15" i="26"/>
  <c r="A15" i="26"/>
  <c r="C14" i="26"/>
  <c r="E13" i="26"/>
  <c r="A13" i="26"/>
  <c r="C12" i="26"/>
  <c r="E11" i="26"/>
  <c r="A11" i="26"/>
  <c r="C10" i="26"/>
  <c r="D15" i="26"/>
  <c r="B14" i="26"/>
  <c r="F12" i="26"/>
  <c r="D11" i="26"/>
  <c r="B10" i="26"/>
  <c r="E14" i="26"/>
  <c r="C13" i="26"/>
  <c r="A12" i="26"/>
  <c r="E10" i="26"/>
  <c r="D13" i="26"/>
  <c r="F10" i="26"/>
  <c r="A14" i="26"/>
  <c r="C11" i="26"/>
  <c r="N7" i="18"/>
  <c r="K7" i="18"/>
  <c r="A12" i="25"/>
  <c r="E10" i="25"/>
  <c r="B9" i="25"/>
  <c r="B12" i="25"/>
  <c r="D10" i="25"/>
  <c r="A9" i="25"/>
  <c r="D18" i="32"/>
  <c r="F17" i="32"/>
  <c r="B17" i="32"/>
  <c r="D16" i="32"/>
  <c r="F15" i="32"/>
  <c r="B15" i="32"/>
  <c r="D14" i="32"/>
  <c r="F13" i="32"/>
  <c r="B13" i="32"/>
  <c r="C18" i="32"/>
  <c r="E17" i="32"/>
  <c r="A17" i="32"/>
  <c r="C16" i="32"/>
  <c r="E15" i="32"/>
  <c r="A15" i="32"/>
  <c r="C14" i="32"/>
  <c r="E13" i="32"/>
  <c r="A13" i="32"/>
  <c r="B18" i="32"/>
  <c r="F16" i="32"/>
  <c r="D15" i="32"/>
  <c r="B14" i="32"/>
  <c r="E18" i="32"/>
  <c r="C17" i="32"/>
  <c r="A16" i="32"/>
  <c r="E14" i="32"/>
  <c r="C13" i="32"/>
  <c r="C19" i="33"/>
  <c r="B21" i="33"/>
  <c r="A18" i="33"/>
  <c r="C17" i="33"/>
  <c r="P10" i="18"/>
  <c r="J10" i="18"/>
  <c r="F10" i="18"/>
  <c r="A17" i="20" a="1"/>
  <c r="C17" i="20" s="1"/>
  <c r="C18" i="26"/>
  <c r="C41" i="27"/>
  <c r="C25" i="27"/>
  <c r="C36" i="26"/>
  <c r="C28" i="26"/>
  <c r="C20" i="26"/>
  <c r="F18" i="27"/>
  <c r="B18" i="27"/>
  <c r="D17" i="27"/>
  <c r="F16" i="27"/>
  <c r="B16" i="27"/>
  <c r="D15" i="27"/>
  <c r="F14" i="27"/>
  <c r="B14" i="27"/>
  <c r="D13" i="27"/>
  <c r="E18" i="27"/>
  <c r="A18" i="27"/>
  <c r="C17" i="27"/>
  <c r="E16" i="27"/>
  <c r="A16" i="27"/>
  <c r="C15" i="27"/>
  <c r="E14" i="27"/>
  <c r="A14" i="27"/>
  <c r="C13" i="27"/>
  <c r="D22" i="30"/>
  <c r="A21" i="30"/>
  <c r="C19" i="30"/>
  <c r="E22" i="30"/>
  <c r="B21" i="30"/>
  <c r="D19" i="30"/>
  <c r="C18" i="31"/>
  <c r="E17" i="31"/>
  <c r="A17" i="31"/>
  <c r="C16" i="31"/>
  <c r="E15" i="31"/>
  <c r="A15" i="31"/>
  <c r="C14" i="31"/>
  <c r="E13" i="31"/>
  <c r="A13" i="31"/>
  <c r="D18" i="31"/>
  <c r="F17" i="31"/>
  <c r="B17" i="31"/>
  <c r="D16" i="31"/>
  <c r="F15" i="31"/>
  <c r="B15" i="31"/>
  <c r="D14" i="31"/>
  <c r="F13" i="31"/>
  <c r="B13" i="31"/>
  <c r="K7" i="47"/>
  <c r="H7" i="47"/>
  <c r="N7" i="47"/>
  <c r="M7" i="47"/>
  <c r="C21" i="2"/>
  <c r="C20" i="2"/>
  <c r="B3" i="50"/>
  <c r="C18" i="50"/>
  <c r="P10" i="47"/>
  <c r="L10" i="47"/>
  <c r="H10" i="47"/>
  <c r="D10" i="47"/>
  <c r="R10" i="47"/>
  <c r="B18" i="50"/>
  <c r="B25" i="50" s="1"/>
  <c r="C25" i="50"/>
  <c r="R14" i="47"/>
  <c r="R18" i="47" s="1"/>
  <c r="R19" i="47" s="1"/>
  <c r="N14" i="47"/>
  <c r="N18" i="47" s="1"/>
  <c r="N19" i="47" s="1"/>
  <c r="J14" i="47"/>
  <c r="J18" i="47" s="1"/>
  <c r="J22" i="47" s="1"/>
  <c r="J23" i="47" s="1"/>
  <c r="F14" i="47"/>
  <c r="F18" i="47" s="1"/>
  <c r="F19" i="47" s="1"/>
  <c r="S14" i="47"/>
  <c r="S18" i="47" s="1"/>
  <c r="S19" i="47" s="1"/>
  <c r="K14" i="47"/>
  <c r="K18" i="47" s="1"/>
  <c r="K22" i="47" s="1"/>
  <c r="K23" i="47" s="1"/>
  <c r="C14" i="47"/>
  <c r="C18" i="47" s="1"/>
  <c r="C19" i="47" s="1"/>
  <c r="E14" i="18"/>
  <c r="E18" i="18" s="1"/>
  <c r="K14" i="18"/>
  <c r="K18" i="18" s="1"/>
  <c r="C14" i="18"/>
  <c r="C18" i="18" s="1"/>
  <c r="C19" i="18" s="1"/>
  <c r="J14" i="18"/>
  <c r="J18" i="18" s="1"/>
  <c r="L14" i="18"/>
  <c r="L18" i="18" s="1"/>
  <c r="L22" i="18" s="1"/>
  <c r="L23" i="18" s="1"/>
  <c r="S14" i="18"/>
  <c r="S18" i="18" s="1"/>
  <c r="S19" i="18" s="1"/>
  <c r="G35" i="19"/>
  <c r="C1" i="37"/>
  <c r="B43" i="49" l="1"/>
  <c r="C24" i="26"/>
  <c r="C32" i="26"/>
  <c r="C24" i="27"/>
  <c r="C33" i="27"/>
  <c r="C34" i="27"/>
  <c r="B29" i="49"/>
  <c r="I28" i="49" s="1"/>
  <c r="C35" i="51" s="1"/>
  <c r="C1" i="2"/>
  <c r="C29" i="2"/>
  <c r="C429" i="59" s="1"/>
  <c r="B21" i="49"/>
  <c r="B27" i="51" s="1"/>
  <c r="B33" i="49"/>
  <c r="I32" i="49" s="1"/>
  <c r="C39" i="51" s="1"/>
  <c r="C49" i="2"/>
  <c r="C421" i="59"/>
  <c r="C48" i="2"/>
  <c r="D6" i="50" s="1"/>
  <c r="C420" i="59"/>
  <c r="P8" i="2"/>
  <c r="P9" i="2"/>
  <c r="P7" i="2"/>
  <c r="P10" i="2"/>
  <c r="V13" i="2"/>
  <c r="C43" i="20"/>
  <c r="C25" i="20"/>
  <c r="G23" i="49"/>
  <c r="I3" i="25"/>
  <c r="C57" i="2"/>
  <c r="D15" i="50" s="1"/>
  <c r="D20" i="50" s="1"/>
  <c r="D26" i="50" s="1"/>
  <c r="H28" i="2"/>
  <c r="D11" i="58"/>
  <c r="D18" i="58" s="1"/>
  <c r="C45" i="2"/>
  <c r="D3" i="50" s="1"/>
  <c r="D18" i="50" s="1"/>
  <c r="D25" i="50" s="1"/>
  <c r="C417" i="59"/>
  <c r="F24" i="49"/>
  <c r="C22" i="26"/>
  <c r="C26" i="26"/>
  <c r="C30" i="26"/>
  <c r="C34" i="26"/>
  <c r="C38" i="26"/>
  <c r="C21" i="27"/>
  <c r="C29" i="27"/>
  <c r="C37" i="27"/>
  <c r="C30" i="27"/>
  <c r="C38" i="27"/>
  <c r="B57" i="2"/>
  <c r="B71" i="2" s="1"/>
  <c r="B429" i="59"/>
  <c r="C20" i="30"/>
  <c r="A22" i="30"/>
  <c r="D23" i="30"/>
  <c r="B20" i="30"/>
  <c r="E21" i="30"/>
  <c r="C23" i="30"/>
  <c r="D20" i="30"/>
  <c r="C22" i="30"/>
  <c r="B19" i="30"/>
  <c r="A23" i="30"/>
  <c r="D21" i="30"/>
  <c r="B23" i="30"/>
  <c r="B19" i="33"/>
  <c r="D20" i="33"/>
  <c r="D19" i="33"/>
  <c r="E17" i="33"/>
  <c r="A21" i="33"/>
  <c r="B8" i="25"/>
  <c r="E9" i="25"/>
  <c r="C11" i="25"/>
  <c r="C8" i="25"/>
  <c r="A10" i="25"/>
  <c r="D11" i="25"/>
  <c r="E12" i="25"/>
  <c r="C18" i="33"/>
  <c r="D12" i="25"/>
  <c r="C9" i="25"/>
  <c r="B10" i="25"/>
  <c r="E8" i="25"/>
  <c r="C33" i="25"/>
  <c r="I16" i="30"/>
  <c r="I14" i="30"/>
  <c r="H2" i="31"/>
  <c r="C18" i="20"/>
  <c r="E21" i="20"/>
  <c r="C19" i="20"/>
  <c r="D20" i="20"/>
  <c r="E17" i="20"/>
  <c r="A18" i="20"/>
  <c r="D8" i="25"/>
  <c r="E11" i="25"/>
  <c r="E19" i="20"/>
  <c r="C21" i="20"/>
  <c r="B20" i="20"/>
  <c r="E20" i="20"/>
  <c r="D21" i="20"/>
  <c r="A17" i="20"/>
  <c r="I13" i="30"/>
  <c r="S27" i="2"/>
  <c r="S28" i="2" s="1"/>
  <c r="C19" i="2" s="1"/>
  <c r="E41" i="34"/>
  <c r="G41" i="34" s="1"/>
  <c r="J10" i="27"/>
  <c r="E2" i="27"/>
  <c r="H3" i="27" s="1"/>
  <c r="K3" i="27" s="1"/>
  <c r="J11" i="27" s="1"/>
  <c r="B3" i="33"/>
  <c r="B9" i="33" s="1"/>
  <c r="C39" i="27"/>
  <c r="N42" i="29"/>
  <c r="C8" i="53"/>
  <c r="C6" i="2"/>
  <c r="G29" i="2"/>
  <c r="L28" i="2" s="1"/>
  <c r="F42" i="28"/>
  <c r="C6" i="53"/>
  <c r="G2" i="53" s="1"/>
  <c r="E7" i="54"/>
  <c r="E7" i="53"/>
  <c r="I14" i="20"/>
  <c r="I11" i="20"/>
  <c r="I15" i="20"/>
  <c r="E40" i="34"/>
  <c r="J7" i="27"/>
  <c r="J9" i="27"/>
  <c r="C5" i="53"/>
  <c r="H2" i="27"/>
  <c r="J2" i="54"/>
  <c r="J5" i="54" s="1"/>
  <c r="J2" i="53"/>
  <c r="J5" i="53" s="1"/>
  <c r="C22" i="25"/>
  <c r="C53" i="53"/>
  <c r="C51" i="53"/>
  <c r="C49" i="53"/>
  <c r="C47" i="53"/>
  <c r="C45" i="53"/>
  <c r="C43" i="53"/>
  <c r="C41" i="53"/>
  <c r="C39" i="53"/>
  <c r="C37" i="53"/>
  <c r="C35" i="53"/>
  <c r="C33" i="53"/>
  <c r="C52" i="53"/>
  <c r="C50" i="53"/>
  <c r="C48" i="53"/>
  <c r="C46" i="53"/>
  <c r="C44" i="53"/>
  <c r="C42" i="53"/>
  <c r="C40" i="53"/>
  <c r="C38" i="53"/>
  <c r="C36" i="53"/>
  <c r="C34" i="53"/>
  <c r="B19" i="20"/>
  <c r="A20" i="20"/>
  <c r="C20" i="20"/>
  <c r="B18" i="20"/>
  <c r="B17" i="20"/>
  <c r="D19" i="20"/>
  <c r="A19" i="20"/>
  <c r="D17" i="20"/>
  <c r="E18" i="20"/>
  <c r="A21" i="20"/>
  <c r="D18" i="20"/>
  <c r="B21" i="20"/>
  <c r="D17" i="33"/>
  <c r="E20" i="33"/>
  <c r="A19" i="33"/>
  <c r="B17" i="33"/>
  <c r="E18" i="33"/>
  <c r="C20" i="33"/>
  <c r="A17" i="33"/>
  <c r="D18" i="33"/>
  <c r="B20" i="33"/>
  <c r="E21" i="33"/>
  <c r="D21" i="33"/>
  <c r="A20" i="33"/>
  <c r="F23" i="54"/>
  <c r="D23" i="54"/>
  <c r="B23" i="54"/>
  <c r="F22" i="54"/>
  <c r="D22" i="54"/>
  <c r="B22" i="54"/>
  <c r="F21" i="54"/>
  <c r="D21" i="54"/>
  <c r="B21" i="54"/>
  <c r="F20" i="54"/>
  <c r="D20" i="54"/>
  <c r="B20" i="54"/>
  <c r="F19" i="54"/>
  <c r="D19" i="54"/>
  <c r="B19" i="54"/>
  <c r="F18" i="54"/>
  <c r="D18" i="54"/>
  <c r="B18" i="54"/>
  <c r="E23" i="54"/>
  <c r="A23" i="54"/>
  <c r="C22" i="54"/>
  <c r="E21" i="54"/>
  <c r="A21" i="54"/>
  <c r="C20" i="54"/>
  <c r="E19" i="54"/>
  <c r="A19" i="54"/>
  <c r="C18" i="54"/>
  <c r="C23" i="54"/>
  <c r="E22" i="54"/>
  <c r="A22" i="54"/>
  <c r="C21" i="54"/>
  <c r="E20" i="54"/>
  <c r="A20" i="54"/>
  <c r="C19" i="54"/>
  <c r="E18" i="54"/>
  <c r="A18" i="54"/>
  <c r="F30" i="53"/>
  <c r="D30" i="53"/>
  <c r="B30" i="53"/>
  <c r="F29" i="53"/>
  <c r="D29" i="53"/>
  <c r="B29" i="53"/>
  <c r="F28" i="53"/>
  <c r="D28" i="53"/>
  <c r="B28" i="53"/>
  <c r="F27" i="53"/>
  <c r="D27" i="53"/>
  <c r="B27" i="53"/>
  <c r="F26" i="53"/>
  <c r="D26" i="53"/>
  <c r="B26" i="53"/>
  <c r="F25" i="53"/>
  <c r="D25" i="53"/>
  <c r="B25" i="53"/>
  <c r="C30" i="53"/>
  <c r="E29" i="53"/>
  <c r="A29" i="53"/>
  <c r="C28" i="53"/>
  <c r="E27" i="53"/>
  <c r="A27" i="53"/>
  <c r="C26" i="53"/>
  <c r="E25" i="53"/>
  <c r="A25" i="53"/>
  <c r="E30" i="53"/>
  <c r="A30" i="53"/>
  <c r="C29" i="53"/>
  <c r="E28" i="53"/>
  <c r="A28" i="53"/>
  <c r="C27" i="53"/>
  <c r="E26" i="53"/>
  <c r="A26" i="53"/>
  <c r="C25" i="53"/>
  <c r="F23" i="49"/>
  <c r="C24" i="25"/>
  <c r="C35" i="26"/>
  <c r="C34" i="25"/>
  <c r="C18" i="25"/>
  <c r="J41" i="34"/>
  <c r="B4" i="32" s="1"/>
  <c r="C31" i="25"/>
  <c r="C36" i="20"/>
  <c r="C30" i="20"/>
  <c r="B6" i="30"/>
  <c r="I17" i="30"/>
  <c r="C22" i="47"/>
  <c r="C23" i="47" s="1"/>
  <c r="C15" i="25"/>
  <c r="F22" i="47"/>
  <c r="F23" i="47" s="1"/>
  <c r="N22" i="47"/>
  <c r="N23" i="47" s="1"/>
  <c r="K19" i="47"/>
  <c r="C17" i="25"/>
  <c r="I5" i="25"/>
  <c r="F6" i="30"/>
  <c r="R22" i="47"/>
  <c r="J19" i="47"/>
  <c r="C22" i="18"/>
  <c r="C23" i="18" s="1"/>
  <c r="C35" i="20"/>
  <c r="I12" i="20"/>
  <c r="C28" i="20"/>
  <c r="C44" i="20"/>
  <c r="C42" i="20"/>
  <c r="C38" i="20"/>
  <c r="I6" i="25"/>
  <c r="Q29" i="2"/>
  <c r="B59" i="2"/>
  <c r="C15" i="50"/>
  <c r="F25" i="49"/>
  <c r="I25" i="49" s="1"/>
  <c r="C31" i="51" s="1"/>
  <c r="G24" i="49"/>
  <c r="G25" i="49"/>
  <c r="C31" i="20"/>
  <c r="C27" i="20"/>
  <c r="J7" i="26"/>
  <c r="J6" i="26"/>
  <c r="C24" i="20"/>
  <c r="C32" i="20"/>
  <c r="C40" i="20"/>
  <c r="C37" i="20"/>
  <c r="C34" i="20"/>
  <c r="C33" i="20"/>
  <c r="C41" i="20"/>
  <c r="C2" i="2"/>
  <c r="B6" i="20"/>
  <c r="D20" i="24"/>
  <c r="C28" i="2" s="1"/>
  <c r="C428" i="59" s="1"/>
  <c r="BG24" i="42"/>
  <c r="E22" i="18"/>
  <c r="E23" i="18" s="1"/>
  <c r="E19" i="18"/>
  <c r="L19" i="18"/>
  <c r="J22" i="18"/>
  <c r="J23" i="18" s="1"/>
  <c r="J19" i="18"/>
  <c r="K22" i="18"/>
  <c r="K23" i="18" s="1"/>
  <c r="K19" i="18"/>
  <c r="H56" i="2"/>
  <c r="Q27" i="2"/>
  <c r="Q34" i="2" s="1"/>
  <c r="Q14" i="47"/>
  <c r="Q18" i="47" s="1"/>
  <c r="M14" i="47"/>
  <c r="M18" i="47" s="1"/>
  <c r="I14" i="47"/>
  <c r="I18" i="47" s="1"/>
  <c r="E14" i="47"/>
  <c r="E18" i="47" s="1"/>
  <c r="T14" i="47"/>
  <c r="T18" i="47" s="1"/>
  <c r="T19" i="47" s="1"/>
  <c r="D14" i="18"/>
  <c r="D18" i="18" s="1"/>
  <c r="F14" i="18"/>
  <c r="F18" i="18" s="1"/>
  <c r="Q14" i="18"/>
  <c r="Q18" i="18" s="1"/>
  <c r="I14" i="18"/>
  <c r="I18" i="18" s="1"/>
  <c r="T14" i="18"/>
  <c r="T18" i="18" s="1"/>
  <c r="T19" i="18" s="1"/>
  <c r="N14" i="18"/>
  <c r="N18" i="18" s="1"/>
  <c r="H14" i="18"/>
  <c r="H18" i="18" s="1"/>
  <c r="P14" i="18"/>
  <c r="P18" i="18" s="1"/>
  <c r="R14" i="18"/>
  <c r="R18" i="18" s="1"/>
  <c r="G14" i="18"/>
  <c r="G18" i="18" s="1"/>
  <c r="O14" i="18"/>
  <c r="O18" i="18" s="1"/>
  <c r="M14" i="18"/>
  <c r="M18" i="18" s="1"/>
  <c r="G14" i="47"/>
  <c r="G18" i="47" s="1"/>
  <c r="O14" i="47"/>
  <c r="O18" i="47" s="1"/>
  <c r="D14" i="47"/>
  <c r="D18" i="47" s="1"/>
  <c r="H14" i="47"/>
  <c r="H18" i="47" s="1"/>
  <c r="L14" i="47"/>
  <c r="L18" i="47" s="1"/>
  <c r="P14" i="47"/>
  <c r="P18" i="47" s="1"/>
  <c r="D7" i="50"/>
  <c r="U30" i="2"/>
  <c r="T30" i="2"/>
  <c r="H7" i="18"/>
  <c r="P6" i="2"/>
  <c r="P4" i="2"/>
  <c r="P5" i="2"/>
  <c r="C23" i="27"/>
  <c r="C27" i="27"/>
  <c r="C25" i="26"/>
  <c r="C30" i="25"/>
  <c r="C23" i="25"/>
  <c r="C19" i="26"/>
  <c r="C25" i="25"/>
  <c r="P15" i="2"/>
  <c r="U15" i="2" s="1"/>
  <c r="P17" i="2"/>
  <c r="U17" i="2" s="1"/>
  <c r="P21" i="2"/>
  <c r="U21" i="2" s="1"/>
  <c r="P14" i="2"/>
  <c r="U14" i="2" s="1"/>
  <c r="P18" i="2"/>
  <c r="U18" i="2" s="1"/>
  <c r="P22" i="2"/>
  <c r="U22" i="2" s="1"/>
  <c r="S21" i="2"/>
  <c r="J21" i="2"/>
  <c r="G21" i="2" s="1"/>
  <c r="L21" i="2" s="1"/>
  <c r="S17" i="2"/>
  <c r="J17" i="2"/>
  <c r="G17" i="2" s="1"/>
  <c r="L17" i="2" s="1"/>
  <c r="F17" i="27"/>
  <c r="A15" i="27"/>
  <c r="E17" i="27"/>
  <c r="C10" i="47"/>
  <c r="S22" i="2"/>
  <c r="J22" i="2"/>
  <c r="G22" i="2" s="1"/>
  <c r="L22" i="2" s="1"/>
  <c r="S18" i="2"/>
  <c r="J18" i="2"/>
  <c r="G18" i="2" s="1"/>
  <c r="L18" i="2" s="1"/>
  <c r="S14" i="2"/>
  <c r="J14" i="2"/>
  <c r="G14" i="2" s="1"/>
  <c r="L14" i="2" s="1"/>
  <c r="T10" i="18"/>
  <c r="L10" i="18"/>
  <c r="D10" i="18"/>
  <c r="AK137" i="18"/>
  <c r="C401" i="59" s="1"/>
  <c r="C840" i="59" s="1"/>
  <c r="C2" i="18"/>
  <c r="C40" i="27"/>
  <c r="C26" i="27"/>
  <c r="C23" i="26"/>
  <c r="C36" i="27"/>
  <c r="C29" i="25"/>
  <c r="C21" i="25"/>
  <c r="C19" i="25"/>
  <c r="C27" i="25"/>
  <c r="C35" i="25"/>
  <c r="C27" i="26"/>
  <c r="C35" i="27"/>
  <c r="C16" i="25"/>
  <c r="C20" i="25"/>
  <c r="C26" i="25"/>
  <c r="C28" i="25"/>
  <c r="C32" i="25"/>
  <c r="C21" i="26"/>
  <c r="C29" i="26"/>
  <c r="C37" i="26"/>
  <c r="C28" i="27"/>
  <c r="C22" i="27"/>
  <c r="C31" i="27"/>
  <c r="C32" i="27"/>
  <c r="E19" i="33"/>
  <c r="B18" i="33"/>
  <c r="B6" i="2"/>
  <c r="B406" i="59" s="1"/>
  <c r="P31" i="2"/>
  <c r="T33" i="2"/>
  <c r="B1" i="2"/>
  <c r="W2" i="28" s="1"/>
  <c r="J3" i="26"/>
  <c r="J4" i="26"/>
  <c r="B11" i="25"/>
  <c r="C10" i="25"/>
  <c r="B12" i="26"/>
  <c r="C15" i="26"/>
  <c r="A18" i="31"/>
  <c r="E16" i="31"/>
  <c r="C15" i="31"/>
  <c r="A14" i="31"/>
  <c r="F18" i="31"/>
  <c r="D17" i="31"/>
  <c r="B16" i="31"/>
  <c r="F14" i="31"/>
  <c r="D13" i="31"/>
  <c r="F18" i="32"/>
  <c r="B16" i="32"/>
  <c r="D13" i="32"/>
  <c r="E16" i="32"/>
  <c r="A14" i="32"/>
  <c r="C40" i="46"/>
  <c r="A113" i="47" s="1"/>
  <c r="B39" i="46"/>
  <c r="F10" i="47"/>
  <c r="N10" i="47"/>
  <c r="K10" i="47"/>
  <c r="B8" i="33" l="1"/>
  <c r="B3" i="32"/>
  <c r="J9" i="32" s="1"/>
  <c r="I24" i="49"/>
  <c r="C30" i="51" s="1"/>
  <c r="B23" i="49"/>
  <c r="C59" i="2"/>
  <c r="C65" i="2"/>
  <c r="H33" i="2"/>
  <c r="H32" i="2" s="1"/>
  <c r="B28" i="2" s="1"/>
  <c r="C66" i="2"/>
  <c r="C68" i="2"/>
  <c r="C71" i="2"/>
  <c r="C47" i="2"/>
  <c r="C419" i="59"/>
  <c r="C67" i="2"/>
  <c r="C40" i="2"/>
  <c r="H55" i="2" s="1"/>
  <c r="C406" i="59"/>
  <c r="W20" i="28"/>
  <c r="W16" i="28"/>
  <c r="W12" i="28"/>
  <c r="W8" i="28"/>
  <c r="W4" i="28"/>
  <c r="W19" i="28"/>
  <c r="W15" i="28"/>
  <c r="W11" i="28"/>
  <c r="W7" i="28"/>
  <c r="W3" i="28"/>
  <c r="W18" i="28"/>
  <c r="W14" i="28"/>
  <c r="W10" i="28"/>
  <c r="W6" i="28"/>
  <c r="W21" i="28"/>
  <c r="W17" i="28"/>
  <c r="W13" i="28"/>
  <c r="W9" i="28"/>
  <c r="W5" i="28"/>
  <c r="G11" i="20"/>
  <c r="G17" i="30"/>
  <c r="G6" i="25"/>
  <c r="G4" i="25"/>
  <c r="G13" i="30"/>
  <c r="G16" i="30"/>
  <c r="G15" i="30"/>
  <c r="G5" i="25"/>
  <c r="G14" i="20"/>
  <c r="J19" i="53"/>
  <c r="J18" i="53"/>
  <c r="J22" i="53"/>
  <c r="I23" i="49"/>
  <c r="C29" i="51" s="1"/>
  <c r="J3" i="53"/>
  <c r="M3" i="53" s="1"/>
  <c r="J20" i="53" s="1"/>
  <c r="B5" i="33"/>
  <c r="G14" i="30"/>
  <c r="B4" i="33"/>
  <c r="B8" i="30"/>
  <c r="G3" i="25"/>
  <c r="G15" i="20"/>
  <c r="H9" i="27"/>
  <c r="H10" i="27"/>
  <c r="R23" i="47"/>
  <c r="S23" i="47" s="1"/>
  <c r="T23" i="47" s="1"/>
  <c r="U23" i="47" s="1"/>
  <c r="V23" i="47" s="1"/>
  <c r="W23" i="47" s="1"/>
  <c r="X23" i="47" s="1"/>
  <c r="Y23" i="47" s="1"/>
  <c r="S22" i="47"/>
  <c r="T22" i="47" s="1"/>
  <c r="U22" i="47" s="1"/>
  <c r="V22" i="47" s="1"/>
  <c r="W22" i="47" s="1"/>
  <c r="X22" i="47" s="1"/>
  <c r="Y22" i="47" s="1"/>
  <c r="G2" i="25"/>
  <c r="G12" i="20"/>
  <c r="G13" i="20"/>
  <c r="Q32" i="2"/>
  <c r="C56" i="2"/>
  <c r="H8" i="27"/>
  <c r="H11" i="27"/>
  <c r="H6" i="27"/>
  <c r="B15" i="50"/>
  <c r="C20" i="50"/>
  <c r="H7" i="27"/>
  <c r="B38" i="46"/>
  <c r="D39" i="46"/>
  <c r="C39" i="46"/>
  <c r="A112" i="47" s="1"/>
  <c r="Q22" i="42"/>
  <c r="AY141" i="18"/>
  <c r="L22" i="47"/>
  <c r="L23" i="47" s="1"/>
  <c r="L19" i="47"/>
  <c r="D22" i="47"/>
  <c r="D23" i="47" s="1"/>
  <c r="D19" i="47"/>
  <c r="G22" i="47"/>
  <c r="G23" i="47" s="1"/>
  <c r="G19" i="47"/>
  <c r="O22" i="18"/>
  <c r="O23" i="18" s="1"/>
  <c r="O19" i="18"/>
  <c r="R22" i="18"/>
  <c r="R19" i="18"/>
  <c r="H22" i="18"/>
  <c r="H23" i="18" s="1"/>
  <c r="H19" i="18"/>
  <c r="N19" i="18"/>
  <c r="N22" i="18"/>
  <c r="N23" i="18" s="1"/>
  <c r="I19" i="18"/>
  <c r="I22" i="18"/>
  <c r="I23" i="18" s="1"/>
  <c r="F19" i="18"/>
  <c r="F22" i="18"/>
  <c r="F23" i="18" s="1"/>
  <c r="I22" i="47"/>
  <c r="I23" i="47" s="1"/>
  <c r="I19" i="47"/>
  <c r="Q19" i="47"/>
  <c r="Q22" i="47"/>
  <c r="Q23" i="47" s="1"/>
  <c r="I13" i="50"/>
  <c r="J55" i="2"/>
  <c r="B40" i="2"/>
  <c r="F55" i="2" s="1"/>
  <c r="P27" i="2"/>
  <c r="P34" i="2" s="1"/>
  <c r="H34" i="2"/>
  <c r="C18" i="2"/>
  <c r="M28" i="2"/>
  <c r="T32" i="2" s="1"/>
  <c r="H27" i="2"/>
  <c r="P22" i="47"/>
  <c r="P23" i="47" s="1"/>
  <c r="P19" i="47"/>
  <c r="H22" i="47"/>
  <c r="H23" i="47" s="1"/>
  <c r="H19" i="47"/>
  <c r="O22" i="47"/>
  <c r="O23" i="47" s="1"/>
  <c r="O19" i="47"/>
  <c r="M19" i="18"/>
  <c r="M22" i="18"/>
  <c r="M23" i="18" s="1"/>
  <c r="G22" i="18"/>
  <c r="G23" i="18" s="1"/>
  <c r="G19" i="18"/>
  <c r="P22" i="18"/>
  <c r="P23" i="18" s="1"/>
  <c r="P19" i="18"/>
  <c r="Q22" i="18"/>
  <c r="Q23" i="18" s="1"/>
  <c r="Q19" i="18"/>
  <c r="D19" i="18"/>
  <c r="D22" i="18"/>
  <c r="D23" i="18" s="1"/>
  <c r="E19" i="47"/>
  <c r="E22" i="47"/>
  <c r="E23" i="47" s="1"/>
  <c r="M19" i="47"/>
  <c r="M22" i="47"/>
  <c r="M23" i="47" s="1"/>
  <c r="I14" i="50"/>
  <c r="J56" i="2"/>
  <c r="I11" i="33" l="1"/>
  <c r="I12" i="33"/>
  <c r="B6" i="33"/>
  <c r="J7" i="32"/>
  <c r="J6" i="32"/>
  <c r="J10" i="32"/>
  <c r="P33" i="2"/>
  <c r="Q33" i="2" s="1"/>
  <c r="U38" i="2" s="1"/>
  <c r="V23" i="2" s="1"/>
  <c r="V14" i="2" s="1"/>
  <c r="C46" i="2"/>
  <c r="D4" i="50" s="1"/>
  <c r="C418" i="59"/>
  <c r="C69" i="2"/>
  <c r="D5" i="50"/>
  <c r="L32" i="2"/>
  <c r="K32" i="2" s="1"/>
  <c r="B428" i="59"/>
  <c r="H42" i="29"/>
  <c r="G36" i="34"/>
  <c r="B24" i="20"/>
  <c r="H31" i="30"/>
  <c r="K32" i="25"/>
  <c r="L32" i="25" s="1"/>
  <c r="B17" i="25"/>
  <c r="D17" i="25" s="1"/>
  <c r="B32" i="25"/>
  <c r="D32" i="25" s="1"/>
  <c r="K15" i="25"/>
  <c r="L15" i="25" s="1"/>
  <c r="K26" i="25"/>
  <c r="L26" i="25" s="1"/>
  <c r="K34" i="25"/>
  <c r="L34" i="25" s="1"/>
  <c r="K24" i="25"/>
  <c r="L24" i="25" s="1"/>
  <c r="K17" i="25"/>
  <c r="L17" i="25" s="1"/>
  <c r="B25" i="25"/>
  <c r="D25" i="25" s="1"/>
  <c r="B26" i="25"/>
  <c r="D26" i="25" s="1"/>
  <c r="K16" i="25"/>
  <c r="L16" i="25" s="1"/>
  <c r="P32" i="2"/>
  <c r="B30" i="25"/>
  <c r="D30" i="25" s="1"/>
  <c r="B56" i="2"/>
  <c r="C14" i="50" s="1"/>
  <c r="B14" i="50" s="1"/>
  <c r="H45" i="30"/>
  <c r="B29" i="30"/>
  <c r="D29" i="30" s="1"/>
  <c r="F29" i="30" s="1"/>
  <c r="B41" i="30"/>
  <c r="E41" i="30" s="1"/>
  <c r="H34" i="30"/>
  <c r="H32" i="30"/>
  <c r="B34" i="30"/>
  <c r="H29" i="30"/>
  <c r="B39" i="30"/>
  <c r="H26" i="30"/>
  <c r="H36" i="30"/>
  <c r="B15" i="25"/>
  <c r="D15" i="25" s="1"/>
  <c r="B29" i="25"/>
  <c r="D29" i="25" s="1"/>
  <c r="B34" i="25"/>
  <c r="D34" i="25" s="1"/>
  <c r="K27" i="25"/>
  <c r="L27" i="25" s="1"/>
  <c r="B20" i="25"/>
  <c r="D20" i="25" s="1"/>
  <c r="K31" i="25"/>
  <c r="L31" i="25" s="1"/>
  <c r="B27" i="25"/>
  <c r="D27" i="25" s="1"/>
  <c r="B21" i="25"/>
  <c r="D21" i="25" s="1"/>
  <c r="K29" i="25"/>
  <c r="L29" i="25" s="1"/>
  <c r="B45" i="30"/>
  <c r="B35" i="30"/>
  <c r="B26" i="30"/>
  <c r="H37" i="30"/>
  <c r="H42" i="30"/>
  <c r="B37" i="30"/>
  <c r="B46" i="30"/>
  <c r="B38" i="30"/>
  <c r="H39" i="30"/>
  <c r="H44" i="30"/>
  <c r="H28" i="30"/>
  <c r="H38" i="20"/>
  <c r="I38" i="20" s="1"/>
  <c r="B23" i="27"/>
  <c r="F33" i="27"/>
  <c r="F28" i="27"/>
  <c r="K20" i="25"/>
  <c r="L20" i="25" s="1"/>
  <c r="K28" i="25"/>
  <c r="L28" i="25" s="1"/>
  <c r="K23" i="25"/>
  <c r="L23" i="25" s="1"/>
  <c r="K22" i="25"/>
  <c r="L22" i="25" s="1"/>
  <c r="K30" i="25"/>
  <c r="L30" i="25" s="1"/>
  <c r="K25" i="25"/>
  <c r="L25" i="25" s="1"/>
  <c r="B16" i="25"/>
  <c r="D16" i="25" s="1"/>
  <c r="B31" i="25"/>
  <c r="D31" i="25" s="1"/>
  <c r="B18" i="25"/>
  <c r="D18" i="25" s="1"/>
  <c r="K35" i="25"/>
  <c r="E34" i="19" s="1"/>
  <c r="K18" i="25"/>
  <c r="L18" i="25" s="1"/>
  <c r="B33" i="25"/>
  <c r="D33" i="25" s="1"/>
  <c r="B23" i="25"/>
  <c r="D23" i="25" s="1"/>
  <c r="B28" i="25"/>
  <c r="D28" i="25" s="1"/>
  <c r="K21" i="25"/>
  <c r="L21" i="25" s="1"/>
  <c r="B35" i="25"/>
  <c r="D35" i="25" s="1"/>
  <c r="B19" i="25"/>
  <c r="D19" i="25" s="1"/>
  <c r="B22" i="25"/>
  <c r="D22" i="25" s="1"/>
  <c r="B24" i="25"/>
  <c r="D24" i="25" s="1"/>
  <c r="K33" i="25"/>
  <c r="L33" i="25" s="1"/>
  <c r="K19" i="25"/>
  <c r="L19" i="25" s="1"/>
  <c r="I14" i="33"/>
  <c r="I15" i="33"/>
  <c r="F22" i="27"/>
  <c r="F30" i="27"/>
  <c r="B26" i="27"/>
  <c r="B36" i="30"/>
  <c r="B33" i="30"/>
  <c r="B42" i="30"/>
  <c r="B43" i="30"/>
  <c r="B30" i="30"/>
  <c r="B27" i="30"/>
  <c r="H41" i="30"/>
  <c r="H33" i="30"/>
  <c r="H46" i="30"/>
  <c r="H38" i="30"/>
  <c r="H30" i="30"/>
  <c r="B44" i="30"/>
  <c r="B31" i="30"/>
  <c r="B40" i="30"/>
  <c r="B28" i="30"/>
  <c r="B32" i="30"/>
  <c r="H43" i="30"/>
  <c r="H35" i="30"/>
  <c r="H27" i="30"/>
  <c r="H40" i="30"/>
  <c r="H35" i="20"/>
  <c r="I35" i="20" s="1"/>
  <c r="B33" i="20"/>
  <c r="B36" i="20"/>
  <c r="B31" i="27"/>
  <c r="H32" i="20"/>
  <c r="I32" i="20" s="1"/>
  <c r="B30" i="20"/>
  <c r="F35" i="27"/>
  <c r="F24" i="27"/>
  <c r="F29" i="27"/>
  <c r="B41" i="27"/>
  <c r="B25" i="27"/>
  <c r="B40" i="20"/>
  <c r="H25" i="20"/>
  <c r="I25" i="20" s="1"/>
  <c r="H26" i="20"/>
  <c r="I26" i="20" s="1"/>
  <c r="B31" i="20"/>
  <c r="H27" i="20"/>
  <c r="I27" i="20" s="1"/>
  <c r="F21" i="27"/>
  <c r="B34" i="27"/>
  <c r="B36" i="27"/>
  <c r="F27" i="27"/>
  <c r="B29" i="27"/>
  <c r="B37" i="27"/>
  <c r="F31" i="27"/>
  <c r="B35" i="27"/>
  <c r="B24" i="27"/>
  <c r="B39" i="20"/>
  <c r="B42" i="20"/>
  <c r="H41" i="20"/>
  <c r="I41" i="20" s="1"/>
  <c r="B37" i="20"/>
  <c r="H42" i="20"/>
  <c r="I42" i="20" s="1"/>
  <c r="H29" i="20"/>
  <c r="I29" i="20" s="1"/>
  <c r="B44" i="20"/>
  <c r="B27" i="20"/>
  <c r="H40" i="20"/>
  <c r="I40" i="20" s="1"/>
  <c r="H43" i="20"/>
  <c r="I43" i="20" s="1"/>
  <c r="F40" i="27"/>
  <c r="H24" i="20"/>
  <c r="I24" i="20" s="1"/>
  <c r="F32" i="27"/>
  <c r="F34" i="27"/>
  <c r="B22" i="27"/>
  <c r="B40" i="27"/>
  <c r="F25" i="27"/>
  <c r="F26" i="27"/>
  <c r="F36" i="27"/>
  <c r="B21" i="27"/>
  <c r="B30" i="27"/>
  <c r="F38" i="27"/>
  <c r="B33" i="27"/>
  <c r="B28" i="27"/>
  <c r="F23" i="27"/>
  <c r="F39" i="27"/>
  <c r="B27" i="27"/>
  <c r="B39" i="27"/>
  <c r="F41" i="27"/>
  <c r="B32" i="27"/>
  <c r="B38" i="27"/>
  <c r="F37" i="27"/>
  <c r="B25" i="20"/>
  <c r="B26" i="20"/>
  <c r="H30" i="20"/>
  <c r="I30" i="20" s="1"/>
  <c r="H33" i="20"/>
  <c r="I33" i="20" s="1"/>
  <c r="B32" i="20"/>
  <c r="B38" i="20"/>
  <c r="B41" i="20"/>
  <c r="H34" i="20"/>
  <c r="I34" i="20" s="1"/>
  <c r="H37" i="20"/>
  <c r="I37" i="20" s="1"/>
  <c r="B35" i="20"/>
  <c r="B28" i="20"/>
  <c r="B43" i="20"/>
  <c r="B29" i="20"/>
  <c r="B34" i="20"/>
  <c r="H44" i="20"/>
  <c r="I44" i="20" s="1"/>
  <c r="H36" i="20"/>
  <c r="I36" i="20" s="1"/>
  <c r="H28" i="20"/>
  <c r="I28" i="20" s="1"/>
  <c r="H39" i="20"/>
  <c r="I39" i="20" s="1"/>
  <c r="H31" i="20"/>
  <c r="I31" i="20" s="1"/>
  <c r="D14" i="50"/>
  <c r="C60" i="2"/>
  <c r="B20" i="50"/>
  <c r="B26" i="50" s="1"/>
  <c r="C26" i="50"/>
  <c r="D37" i="20"/>
  <c r="U39" i="2"/>
  <c r="P28" i="2"/>
  <c r="U40" i="2"/>
  <c r="L33" i="2"/>
  <c r="D38" i="46"/>
  <c r="B37" i="46"/>
  <c r="C38" i="46"/>
  <c r="A111" i="47" s="1"/>
  <c r="C70" i="2"/>
  <c r="C30" i="2"/>
  <c r="K55" i="2"/>
  <c r="G55" i="2"/>
  <c r="G13" i="50" s="1"/>
  <c r="H13" i="50"/>
  <c r="L13" i="50" s="1"/>
  <c r="B20" i="2"/>
  <c r="B420" i="59" s="1"/>
  <c r="S22" i="18"/>
  <c r="T22" i="18" s="1"/>
  <c r="U22" i="18" s="1"/>
  <c r="V22" i="18" s="1"/>
  <c r="W22" i="18" s="1"/>
  <c r="X22" i="18" s="1"/>
  <c r="Y22" i="18" s="1"/>
  <c r="R23" i="18"/>
  <c r="S23" i="18" s="1"/>
  <c r="T23" i="18" s="1"/>
  <c r="U23" i="18" s="1"/>
  <c r="V23" i="18" s="1"/>
  <c r="W23" i="18" s="1"/>
  <c r="X23" i="18" s="1"/>
  <c r="Y23" i="18" s="1"/>
  <c r="T38" i="2" l="1"/>
  <c r="B30" i="2" s="1"/>
  <c r="B19" i="2"/>
  <c r="B47" i="2" s="1"/>
  <c r="C5" i="50" s="1"/>
  <c r="B5" i="50" s="1"/>
  <c r="B18" i="2"/>
  <c r="M32" i="2"/>
  <c r="C430" i="59"/>
  <c r="B60" i="2"/>
  <c r="Q63" i="34"/>
  <c r="Q52" i="34"/>
  <c r="Q67" i="34"/>
  <c r="Q56" i="34"/>
  <c r="Q57" i="34"/>
  <c r="Q54" i="34"/>
  <c r="Q59" i="34"/>
  <c r="Q66" i="34"/>
  <c r="Q53" i="34"/>
  <c r="Q69" i="34"/>
  <c r="Q68" i="34"/>
  <c r="Q62" i="34"/>
  <c r="Q55" i="34"/>
  <c r="Q58" i="34"/>
  <c r="Q72" i="34"/>
  <c r="Q65" i="34"/>
  <c r="Q60" i="34"/>
  <c r="Q71" i="34"/>
  <c r="Q64" i="34"/>
  <c r="Q61" i="34"/>
  <c r="Q70" i="34"/>
  <c r="D32" i="30"/>
  <c r="F32" i="30" s="1"/>
  <c r="C58" i="56"/>
  <c r="X8" i="29" s="1"/>
  <c r="E40" i="30"/>
  <c r="C66" i="56"/>
  <c r="X16" i="29" s="1"/>
  <c r="D44" i="30"/>
  <c r="F44" i="30" s="1"/>
  <c r="C70" i="56"/>
  <c r="X20" i="29" s="1"/>
  <c r="E27" i="30"/>
  <c r="C53" i="56"/>
  <c r="X3" i="29" s="1"/>
  <c r="E43" i="30"/>
  <c r="C69" i="56"/>
  <c r="X19" i="29" s="1"/>
  <c r="E33" i="30"/>
  <c r="C59" i="56"/>
  <c r="X9" i="29" s="1"/>
  <c r="D46" i="30"/>
  <c r="F46" i="30" s="1"/>
  <c r="C72" i="56"/>
  <c r="X22" i="29" s="1"/>
  <c r="D26" i="30"/>
  <c r="F26" i="30" s="1"/>
  <c r="C52" i="56"/>
  <c r="X2" i="29" s="1"/>
  <c r="E45" i="30"/>
  <c r="C71" i="56"/>
  <c r="X21" i="29" s="1"/>
  <c r="E39" i="30"/>
  <c r="C65" i="56"/>
  <c r="X15" i="29" s="1"/>
  <c r="E34" i="30"/>
  <c r="C60" i="56"/>
  <c r="X10" i="29" s="1"/>
  <c r="E29" i="30"/>
  <c r="C55" i="56"/>
  <c r="X5" i="29" s="1"/>
  <c r="E28" i="30"/>
  <c r="C54" i="56"/>
  <c r="X4" i="29" s="1"/>
  <c r="D31" i="30"/>
  <c r="F31" i="30" s="1"/>
  <c r="C57" i="56"/>
  <c r="X7" i="29" s="1"/>
  <c r="E30" i="30"/>
  <c r="C56" i="56"/>
  <c r="X6" i="29" s="1"/>
  <c r="E42" i="30"/>
  <c r="C68" i="56"/>
  <c r="X18" i="29" s="1"/>
  <c r="E36" i="30"/>
  <c r="C62" i="56"/>
  <c r="X12" i="29" s="1"/>
  <c r="D38" i="30"/>
  <c r="F38" i="30" s="1"/>
  <c r="C64" i="56"/>
  <c r="X14" i="29" s="1"/>
  <c r="E37" i="30"/>
  <c r="C63" i="56"/>
  <c r="X13" i="29" s="1"/>
  <c r="D35" i="30"/>
  <c r="F35" i="30" s="1"/>
  <c r="C61" i="56"/>
  <c r="X11" i="29" s="1"/>
  <c r="D41" i="30"/>
  <c r="F41" i="30" s="1"/>
  <c r="C67" i="56"/>
  <c r="X17" i="29" s="1"/>
  <c r="D33" i="30"/>
  <c r="F33" i="30" s="1"/>
  <c r="D39" i="30"/>
  <c r="F39" i="30" s="1"/>
  <c r="D40" i="30"/>
  <c r="F40" i="30" s="1"/>
  <c r="E29" i="20"/>
  <c r="K29" i="20"/>
  <c r="C32" i="56" s="1"/>
  <c r="C9" i="56"/>
  <c r="E28" i="20"/>
  <c r="C8" i="56"/>
  <c r="K28" i="20"/>
  <c r="C31" i="56" s="1"/>
  <c r="D41" i="20"/>
  <c r="F41" i="20" s="1"/>
  <c r="K41" i="20"/>
  <c r="C44" i="56" s="1"/>
  <c r="C21" i="56"/>
  <c r="E32" i="20"/>
  <c r="C12" i="56"/>
  <c r="K32" i="20"/>
  <c r="C35" i="56" s="1"/>
  <c r="D25" i="20"/>
  <c r="F25" i="20" s="1"/>
  <c r="K25" i="20"/>
  <c r="C28" i="56" s="1"/>
  <c r="C5" i="56"/>
  <c r="D38" i="27"/>
  <c r="D21" i="56"/>
  <c r="I27" i="27"/>
  <c r="D33" i="56" s="1"/>
  <c r="D10" i="56"/>
  <c r="I33" i="27"/>
  <c r="D39" i="56" s="1"/>
  <c r="D16" i="56"/>
  <c r="I30" i="27"/>
  <c r="D36" i="56" s="1"/>
  <c r="D13" i="56"/>
  <c r="D22" i="27"/>
  <c r="D5" i="56"/>
  <c r="I22" i="27"/>
  <c r="D28" i="56" s="1"/>
  <c r="E44" i="20"/>
  <c r="C24" i="56"/>
  <c r="K44" i="20"/>
  <c r="C47" i="56" s="1"/>
  <c r="E39" i="20"/>
  <c r="K39" i="20"/>
  <c r="C42" i="56" s="1"/>
  <c r="C19" i="56"/>
  <c r="D35" i="27"/>
  <c r="D18" i="56"/>
  <c r="I37" i="27"/>
  <c r="D43" i="56" s="1"/>
  <c r="D20" i="56"/>
  <c r="I34" i="27"/>
  <c r="D40" i="56" s="1"/>
  <c r="D17" i="56"/>
  <c r="D40" i="20"/>
  <c r="G34" i="26" s="1"/>
  <c r="C20" i="56"/>
  <c r="K40" i="20"/>
  <c r="C43" i="56" s="1"/>
  <c r="D41" i="27"/>
  <c r="D24" i="56"/>
  <c r="E30" i="20"/>
  <c r="C10" i="56"/>
  <c r="K30" i="20"/>
  <c r="C33" i="56" s="1"/>
  <c r="I31" i="27"/>
  <c r="D37" i="56" s="1"/>
  <c r="D14" i="56"/>
  <c r="D33" i="20"/>
  <c r="F33" i="20" s="1"/>
  <c r="K33" i="20"/>
  <c r="C36" i="56" s="1"/>
  <c r="C13" i="56"/>
  <c r="I26" i="27"/>
  <c r="D32" i="56" s="1"/>
  <c r="D9" i="56"/>
  <c r="I23" i="27"/>
  <c r="D29" i="56" s="1"/>
  <c r="D6" i="56"/>
  <c r="E34" i="20"/>
  <c r="C14" i="56"/>
  <c r="K34" i="20"/>
  <c r="C37" i="56" s="1"/>
  <c r="D43" i="20"/>
  <c r="G34" i="25" s="1"/>
  <c r="K43" i="20"/>
  <c r="C46" i="56" s="1"/>
  <c r="C23" i="56"/>
  <c r="E35" i="20"/>
  <c r="K35" i="20"/>
  <c r="C38" i="56" s="1"/>
  <c r="C15" i="56"/>
  <c r="D38" i="20"/>
  <c r="G32" i="26" s="1"/>
  <c r="C18" i="56"/>
  <c r="K38" i="20"/>
  <c r="C41" i="56" s="1"/>
  <c r="D26" i="20"/>
  <c r="F26" i="20" s="1"/>
  <c r="C6" i="56"/>
  <c r="K26" i="20"/>
  <c r="C29" i="56" s="1"/>
  <c r="D32" i="27"/>
  <c r="D15" i="56"/>
  <c r="I39" i="27"/>
  <c r="D45" i="56" s="1"/>
  <c r="D22" i="56"/>
  <c r="I28" i="27"/>
  <c r="D34" i="56" s="1"/>
  <c r="D11" i="56"/>
  <c r="I21" i="27"/>
  <c r="D27" i="56" s="1"/>
  <c r="D4" i="56"/>
  <c r="D40" i="27"/>
  <c r="D23" i="56"/>
  <c r="E27" i="20"/>
  <c r="K27" i="20"/>
  <c r="C30" i="56" s="1"/>
  <c r="C7" i="56"/>
  <c r="E37" i="20"/>
  <c r="K37" i="20"/>
  <c r="C40" i="56" s="1"/>
  <c r="C17" i="56"/>
  <c r="E42" i="20"/>
  <c r="C22" i="56"/>
  <c r="K42" i="20"/>
  <c r="C45" i="56" s="1"/>
  <c r="D24" i="27"/>
  <c r="D7" i="56"/>
  <c r="I24" i="27"/>
  <c r="D30" i="56" s="1"/>
  <c r="D29" i="27"/>
  <c r="D12" i="56"/>
  <c r="I36" i="27"/>
  <c r="D42" i="56" s="1"/>
  <c r="D19" i="56"/>
  <c r="E31" i="20"/>
  <c r="K31" i="20"/>
  <c r="C34" i="56" s="1"/>
  <c r="C11" i="56"/>
  <c r="I25" i="27"/>
  <c r="D31" i="56" s="1"/>
  <c r="D8" i="56"/>
  <c r="E36" i="20"/>
  <c r="C16" i="56"/>
  <c r="K36" i="20"/>
  <c r="C39" i="56" s="1"/>
  <c r="D24" i="20"/>
  <c r="G18" i="26" s="1"/>
  <c r="K24" i="20"/>
  <c r="C27" i="56" s="1"/>
  <c r="C4" i="56"/>
  <c r="D36" i="27"/>
  <c r="D28" i="27"/>
  <c r="I29" i="27"/>
  <c r="D35" i="56" s="1"/>
  <c r="D36" i="20"/>
  <c r="G30" i="26" s="1"/>
  <c r="D23" i="27"/>
  <c r="I35" i="27"/>
  <c r="D41" i="56" s="1"/>
  <c r="E33" i="20"/>
  <c r="D30" i="20"/>
  <c r="G24" i="26" s="1"/>
  <c r="E25" i="20"/>
  <c r="D27" i="30"/>
  <c r="F27" i="30" s="1"/>
  <c r="D34" i="30"/>
  <c r="F34" i="30" s="1"/>
  <c r="L35" i="25"/>
  <c r="D30" i="30"/>
  <c r="F30" i="30" s="1"/>
  <c r="E38" i="30"/>
  <c r="D37" i="30"/>
  <c r="F37" i="30" s="1"/>
  <c r="E35" i="30"/>
  <c r="D36" i="30"/>
  <c r="F36" i="30" s="1"/>
  <c r="E44" i="30"/>
  <c r="D43" i="30"/>
  <c r="F43" i="30" s="1"/>
  <c r="E46" i="30"/>
  <c r="E26" i="30"/>
  <c r="D45" i="30"/>
  <c r="F45" i="30" s="1"/>
  <c r="E32" i="30"/>
  <c r="D26" i="27"/>
  <c r="I40" i="27"/>
  <c r="D46" i="56" s="1"/>
  <c r="D31" i="27"/>
  <c r="D21" i="27"/>
  <c r="D25" i="27"/>
  <c r="D28" i="30"/>
  <c r="F28" i="30" s="1"/>
  <c r="E31" i="30"/>
  <c r="D42" i="30"/>
  <c r="F42" i="30" s="1"/>
  <c r="D27" i="20"/>
  <c r="G18" i="25" s="1"/>
  <c r="E40" i="20"/>
  <c r="D39" i="27"/>
  <c r="I38" i="27"/>
  <c r="D44" i="56" s="1"/>
  <c r="D27" i="27"/>
  <c r="D33" i="27"/>
  <c r="I41" i="27"/>
  <c r="D47" i="56" s="1"/>
  <c r="D31" i="20"/>
  <c r="G22" i="25" s="1"/>
  <c r="D42" i="20"/>
  <c r="G36" i="26" s="1"/>
  <c r="G13" i="33"/>
  <c r="G12" i="33"/>
  <c r="G15" i="33"/>
  <c r="G11" i="33"/>
  <c r="G14" i="33"/>
  <c r="E43" i="20"/>
  <c r="D34" i="27"/>
  <c r="D30" i="27"/>
  <c r="D37" i="27"/>
  <c r="D44" i="20"/>
  <c r="G35" i="25" s="1"/>
  <c r="D39" i="20"/>
  <c r="F39" i="20" s="1"/>
  <c r="E38" i="20"/>
  <c r="I32" i="27"/>
  <c r="D38" i="56" s="1"/>
  <c r="D34" i="20"/>
  <c r="G28" i="26" s="1"/>
  <c r="D35" i="20"/>
  <c r="G29" i="26" s="1"/>
  <c r="E24" i="20"/>
  <c r="D28" i="20"/>
  <c r="G22" i="26" s="1"/>
  <c r="D32" i="20"/>
  <c r="F32" i="20" s="1"/>
  <c r="D29" i="20"/>
  <c r="G20" i="25" s="1"/>
  <c r="E41" i="20"/>
  <c r="E26" i="20"/>
  <c r="G24" i="25"/>
  <c r="G28" i="25"/>
  <c r="F37" i="20"/>
  <c r="G31" i="26"/>
  <c r="G31" i="25"/>
  <c r="G34" i="19"/>
  <c r="B2" i="26"/>
  <c r="J8" i="26" s="1"/>
  <c r="C39" i="2"/>
  <c r="V15" i="2"/>
  <c r="B2" i="33"/>
  <c r="Q28" i="2"/>
  <c r="J3" i="2"/>
  <c r="F3" i="2" s="1"/>
  <c r="P30" i="2"/>
  <c r="B48" i="2"/>
  <c r="T23" i="2"/>
  <c r="T14" i="2" s="1"/>
  <c r="H45" i="2"/>
  <c r="D37" i="46"/>
  <c r="C37" i="46"/>
  <c r="A110" i="47" s="1"/>
  <c r="B36" i="46"/>
  <c r="S33" i="2"/>
  <c r="C25" i="2" s="1"/>
  <c r="S32" i="2"/>
  <c r="C24" i="2" s="1"/>
  <c r="C424" i="59" s="1"/>
  <c r="K33" i="2"/>
  <c r="S34" i="2"/>
  <c r="C26" i="2" s="1"/>
  <c r="S35" i="2"/>
  <c r="Y6" i="58"/>
  <c r="B430" i="59" l="1"/>
  <c r="Y7" i="58"/>
  <c r="O7" i="58" s="1"/>
  <c r="P7" i="58" s="1"/>
  <c r="Q7" i="58" s="1"/>
  <c r="R7" i="58" s="1"/>
  <c r="S7" i="58" s="1"/>
  <c r="T7" i="58" s="1"/>
  <c r="U7" i="58" s="1"/>
  <c r="V7" i="58" s="1"/>
  <c r="W7" i="58" s="1"/>
  <c r="X7" i="58" s="1"/>
  <c r="B419" i="59"/>
  <c r="M33" i="2"/>
  <c r="T34" i="2" s="1"/>
  <c r="B23" i="2" s="1"/>
  <c r="B423" i="59" s="1"/>
  <c r="B69" i="2"/>
  <c r="B21" i="2"/>
  <c r="B418" i="59"/>
  <c r="B46" i="2"/>
  <c r="F24" i="20"/>
  <c r="AD7" i="58"/>
  <c r="AE7" i="58" s="1"/>
  <c r="AF7" i="58" s="1"/>
  <c r="AD6" i="58"/>
  <c r="AE6" i="58" s="1"/>
  <c r="AF6" i="58" s="1"/>
  <c r="O6" i="58"/>
  <c r="P6" i="58" s="1"/>
  <c r="Q6" i="58" s="1"/>
  <c r="R6" i="58" s="1"/>
  <c r="S6" i="58" s="1"/>
  <c r="T6" i="58" s="1"/>
  <c r="U6" i="58" s="1"/>
  <c r="V6" i="58" s="1"/>
  <c r="W6" i="58" s="1"/>
  <c r="X6" i="58" s="1"/>
  <c r="H54" i="2"/>
  <c r="J54" i="2" s="1"/>
  <c r="C439" i="59"/>
  <c r="C53" i="2"/>
  <c r="D11" i="50" s="1"/>
  <c r="C425" i="59"/>
  <c r="C54" i="2"/>
  <c r="D12" i="50" s="1"/>
  <c r="C426" i="59"/>
  <c r="G16" i="25"/>
  <c r="F38" i="20"/>
  <c r="G35" i="26"/>
  <c r="G19" i="26"/>
  <c r="G29" i="25"/>
  <c r="G37" i="26"/>
  <c r="F40" i="20"/>
  <c r="G27" i="26"/>
  <c r="G32" i="25"/>
  <c r="G15" i="25"/>
  <c r="F43" i="20"/>
  <c r="G20" i="26"/>
  <c r="G17" i="25"/>
  <c r="G27" i="25"/>
  <c r="F36" i="20"/>
  <c r="F30" i="20"/>
  <c r="G21" i="25"/>
  <c r="G21" i="26"/>
  <c r="G25" i="25"/>
  <c r="E46" i="20"/>
  <c r="F27" i="20"/>
  <c r="F28" i="20"/>
  <c r="G23" i="26"/>
  <c r="F42" i="20"/>
  <c r="F34" i="20"/>
  <c r="F44" i="20"/>
  <c r="G33" i="25"/>
  <c r="F31" i="20"/>
  <c r="G26" i="25"/>
  <c r="G25" i="26"/>
  <c r="F35" i="20"/>
  <c r="G30" i="25"/>
  <c r="G19" i="25"/>
  <c r="B42" i="33"/>
  <c r="C95" i="56" s="1"/>
  <c r="B27" i="33"/>
  <c r="C80" i="56" s="1"/>
  <c r="B40" i="33"/>
  <c r="C93" i="56" s="1"/>
  <c r="B41" i="33"/>
  <c r="C94" i="56" s="1"/>
  <c r="B25" i="33"/>
  <c r="C78" i="56" s="1"/>
  <c r="B26" i="33"/>
  <c r="C79" i="56" s="1"/>
  <c r="B35" i="33"/>
  <c r="C88" i="56" s="1"/>
  <c r="B36" i="33"/>
  <c r="C89" i="56" s="1"/>
  <c r="B33" i="33"/>
  <c r="C86" i="56" s="1"/>
  <c r="B32" i="33"/>
  <c r="C85" i="56" s="1"/>
  <c r="B31" i="33"/>
  <c r="C84" i="56" s="1"/>
  <c r="B24" i="33"/>
  <c r="C77" i="56" s="1"/>
  <c r="B29" i="33"/>
  <c r="C82" i="56" s="1"/>
  <c r="B34" i="33"/>
  <c r="C87" i="56" s="1"/>
  <c r="B38" i="33"/>
  <c r="C91" i="56" s="1"/>
  <c r="B28" i="33"/>
  <c r="C81" i="56" s="1"/>
  <c r="B44" i="33"/>
  <c r="C97" i="56" s="1"/>
  <c r="B37" i="33"/>
  <c r="C90" i="56" s="1"/>
  <c r="B39" i="33"/>
  <c r="C92" i="56" s="1"/>
  <c r="B43" i="33"/>
  <c r="C96" i="56" s="1"/>
  <c r="B30" i="33"/>
  <c r="C83" i="56" s="1"/>
  <c r="F29" i="20"/>
  <c r="G33" i="26"/>
  <c r="G38" i="26"/>
  <c r="D46" i="20"/>
  <c r="G23" i="25"/>
  <c r="G26" i="26"/>
  <c r="C52" i="2"/>
  <c r="D36" i="46"/>
  <c r="B35" i="46"/>
  <c r="C36" i="46"/>
  <c r="A109" i="47" s="1"/>
  <c r="I3" i="50"/>
  <c r="D21" i="50" s="1"/>
  <c r="J45" i="2"/>
  <c r="B39" i="2"/>
  <c r="T15" i="2"/>
  <c r="C6" i="50"/>
  <c r="B6" i="50" s="1"/>
  <c r="B68" i="2"/>
  <c r="C32" i="33"/>
  <c r="C27" i="33"/>
  <c r="C43" i="33"/>
  <c r="C38" i="33"/>
  <c r="C33" i="33"/>
  <c r="C28" i="33"/>
  <c r="C39" i="33"/>
  <c r="C29" i="33"/>
  <c r="C36" i="33"/>
  <c r="C37" i="33"/>
  <c r="C35" i="33"/>
  <c r="C25" i="33"/>
  <c r="C44" i="33"/>
  <c r="C24" i="33"/>
  <c r="C42" i="33"/>
  <c r="C40" i="33"/>
  <c r="C30" i="33"/>
  <c r="C41" i="33"/>
  <c r="C34" i="33"/>
  <c r="C26" i="33"/>
  <c r="C31" i="33"/>
  <c r="U35" i="2"/>
  <c r="T35" i="2"/>
  <c r="F45" i="2"/>
  <c r="AV1" i="42"/>
  <c r="J8" i="2"/>
  <c r="F8" i="2" s="1"/>
  <c r="J6" i="2"/>
  <c r="F6" i="2" s="1"/>
  <c r="J10" i="2"/>
  <c r="F10" i="2" s="1"/>
  <c r="J4" i="2"/>
  <c r="F4" i="2" s="1"/>
  <c r="J7" i="2"/>
  <c r="F7" i="2" s="1"/>
  <c r="J9" i="2"/>
  <c r="F9" i="2" s="1"/>
  <c r="J5" i="2"/>
  <c r="F5" i="2" s="1"/>
  <c r="U37" i="2"/>
  <c r="T37" i="2" s="1"/>
  <c r="M23" i="2"/>
  <c r="V16" i="2"/>
  <c r="C38" i="2"/>
  <c r="H5" i="26"/>
  <c r="H4" i="26"/>
  <c r="H7" i="26"/>
  <c r="H8" i="26"/>
  <c r="H6" i="26"/>
  <c r="H3" i="26"/>
  <c r="Y8" i="58"/>
  <c r="I12" i="50" l="1"/>
  <c r="B26" i="2"/>
  <c r="B54" i="2" s="1"/>
  <c r="B62" i="2" s="1"/>
  <c r="B25" i="2"/>
  <c r="B51" i="2"/>
  <c r="C9" i="50" s="1"/>
  <c r="B9" i="50" s="1"/>
  <c r="B27" i="2"/>
  <c r="B427" i="59" s="1"/>
  <c r="B24" i="2"/>
  <c r="B424" i="59" s="1"/>
  <c r="B22" i="2"/>
  <c r="B422" i="59" s="1"/>
  <c r="B49" i="2"/>
  <c r="B421" i="59"/>
  <c r="B50" i="2"/>
  <c r="C4" i="50"/>
  <c r="B4" i="50" s="1"/>
  <c r="B70" i="2"/>
  <c r="C63" i="2"/>
  <c r="C62" i="2"/>
  <c r="H53" i="2"/>
  <c r="I11" i="50" s="1"/>
  <c r="C438" i="59"/>
  <c r="F54" i="2"/>
  <c r="G54" i="2" s="1"/>
  <c r="G12" i="50" s="1"/>
  <c r="B439" i="59"/>
  <c r="B53" i="2"/>
  <c r="C11" i="50" s="1"/>
  <c r="B11" i="50" s="1"/>
  <c r="B425" i="59"/>
  <c r="AD8" i="58"/>
  <c r="AE8" i="58" s="1"/>
  <c r="AF8" i="58" s="1"/>
  <c r="O8" i="58"/>
  <c r="P8" i="58" s="1"/>
  <c r="Q8" i="58" s="1"/>
  <c r="R8" i="58" s="1"/>
  <c r="S8" i="58" s="1"/>
  <c r="T8" i="58" s="1"/>
  <c r="U8" i="58" s="1"/>
  <c r="V8" i="58" s="1"/>
  <c r="W8" i="58" s="1"/>
  <c r="X8" i="58" s="1"/>
  <c r="H31" i="33"/>
  <c r="J31" i="33" s="1"/>
  <c r="O31" i="33"/>
  <c r="H34" i="33"/>
  <c r="J34" i="33" s="1"/>
  <c r="O34" i="33"/>
  <c r="H30" i="33"/>
  <c r="J30" i="33" s="1"/>
  <c r="O30" i="33"/>
  <c r="H42" i="33"/>
  <c r="J42" i="33" s="1"/>
  <c r="O42" i="33"/>
  <c r="H44" i="33"/>
  <c r="J44" i="33" s="1"/>
  <c r="O44" i="33"/>
  <c r="H35" i="33"/>
  <c r="J35" i="33" s="1"/>
  <c r="O35" i="33"/>
  <c r="H36" i="33"/>
  <c r="J36" i="33" s="1"/>
  <c r="O36" i="33"/>
  <c r="H39" i="33"/>
  <c r="J39" i="33" s="1"/>
  <c r="O39" i="33"/>
  <c r="H33" i="33"/>
  <c r="J33" i="33" s="1"/>
  <c r="O33" i="33"/>
  <c r="H43" i="33"/>
  <c r="J43" i="33" s="1"/>
  <c r="O43" i="33"/>
  <c r="H32" i="33"/>
  <c r="J32" i="33" s="1"/>
  <c r="O32" i="33"/>
  <c r="H26" i="33"/>
  <c r="J26" i="33" s="1"/>
  <c r="O26" i="33"/>
  <c r="H41" i="33"/>
  <c r="J41" i="33" s="1"/>
  <c r="O41" i="33"/>
  <c r="H40" i="33"/>
  <c r="J40" i="33" s="1"/>
  <c r="O40" i="33"/>
  <c r="H24" i="33"/>
  <c r="J24" i="33" s="1"/>
  <c r="O24" i="33"/>
  <c r="H25" i="33"/>
  <c r="J25" i="33" s="1"/>
  <c r="O25" i="33"/>
  <c r="H37" i="33"/>
  <c r="J37" i="33" s="1"/>
  <c r="O37" i="33"/>
  <c r="H29" i="33"/>
  <c r="J29" i="33" s="1"/>
  <c r="O29" i="33"/>
  <c r="H28" i="33"/>
  <c r="J28" i="33" s="1"/>
  <c r="O28" i="33"/>
  <c r="H38" i="33"/>
  <c r="J38" i="33" s="1"/>
  <c r="O38" i="33"/>
  <c r="H27" i="33"/>
  <c r="J27" i="33" s="1"/>
  <c r="O27" i="33"/>
  <c r="M30" i="33"/>
  <c r="E30" i="33"/>
  <c r="D30" i="33"/>
  <c r="F30" i="33" s="1"/>
  <c r="M39" i="33"/>
  <c r="E39" i="33"/>
  <c r="D39" i="33"/>
  <c r="F39" i="33" s="1"/>
  <c r="M44" i="33"/>
  <c r="E44" i="33"/>
  <c r="D44" i="33"/>
  <c r="F44" i="33" s="1"/>
  <c r="M38" i="33"/>
  <c r="D38" i="33"/>
  <c r="F38" i="33" s="1"/>
  <c r="E38" i="33"/>
  <c r="M29" i="33"/>
  <c r="E29" i="33"/>
  <c r="D29" i="33"/>
  <c r="F29" i="33" s="1"/>
  <c r="E31" i="33"/>
  <c r="D31" i="33"/>
  <c r="F31" i="33" s="1"/>
  <c r="M31" i="33"/>
  <c r="E33" i="33"/>
  <c r="M33" i="33"/>
  <c r="D33" i="33"/>
  <c r="F33" i="33" s="1"/>
  <c r="D35" i="33"/>
  <c r="F35" i="33" s="1"/>
  <c r="M35" i="33"/>
  <c r="E35" i="33"/>
  <c r="M25" i="33"/>
  <c r="D25" i="33"/>
  <c r="F25" i="33" s="1"/>
  <c r="E25" i="33"/>
  <c r="D40" i="33"/>
  <c r="F40" i="33" s="1"/>
  <c r="M40" i="33"/>
  <c r="E40" i="33"/>
  <c r="E42" i="33"/>
  <c r="D42" i="33"/>
  <c r="F42" i="33" s="1"/>
  <c r="M42" i="33"/>
  <c r="E43" i="33"/>
  <c r="M43" i="33"/>
  <c r="D43" i="33"/>
  <c r="F43" i="33" s="1"/>
  <c r="E37" i="33"/>
  <c r="M37" i="33"/>
  <c r="D37" i="33"/>
  <c r="F37" i="33" s="1"/>
  <c r="E28" i="33"/>
  <c r="M28" i="33"/>
  <c r="D28" i="33"/>
  <c r="F28" i="33" s="1"/>
  <c r="E34" i="33"/>
  <c r="M34" i="33"/>
  <c r="D34" i="33"/>
  <c r="F34" i="33" s="1"/>
  <c r="E24" i="33"/>
  <c r="M24" i="33"/>
  <c r="D24" i="33"/>
  <c r="F24" i="33" s="1"/>
  <c r="M32" i="33"/>
  <c r="D32" i="33"/>
  <c r="F32" i="33" s="1"/>
  <c r="E32" i="33"/>
  <c r="M36" i="33"/>
  <c r="E36" i="33"/>
  <c r="D36" i="33"/>
  <c r="F36" i="33" s="1"/>
  <c r="M26" i="33"/>
  <c r="E26" i="33"/>
  <c r="D26" i="33"/>
  <c r="F26" i="33" s="1"/>
  <c r="M41" i="33"/>
  <c r="E41" i="33"/>
  <c r="D41" i="33"/>
  <c r="F41" i="33" s="1"/>
  <c r="M27" i="33"/>
  <c r="D27" i="33"/>
  <c r="F27" i="33" s="1"/>
  <c r="E27" i="33"/>
  <c r="B55" i="2"/>
  <c r="B19" i="26"/>
  <c r="D19" i="26" s="1"/>
  <c r="B26" i="26"/>
  <c r="D26" i="26" s="1"/>
  <c r="B25" i="26"/>
  <c r="D25" i="26" s="1"/>
  <c r="B34" i="26"/>
  <c r="D34" i="26" s="1"/>
  <c r="B23" i="26"/>
  <c r="D23" i="26" s="1"/>
  <c r="B29" i="26"/>
  <c r="D29" i="26" s="1"/>
  <c r="B20" i="26"/>
  <c r="D20" i="26" s="1"/>
  <c r="B18" i="26"/>
  <c r="D18" i="26" s="1"/>
  <c r="B24" i="26"/>
  <c r="D24" i="26" s="1"/>
  <c r="B30" i="26"/>
  <c r="D30" i="26" s="1"/>
  <c r="B28" i="26"/>
  <c r="D28" i="26" s="1"/>
  <c r="B27" i="26"/>
  <c r="D27" i="26" s="1"/>
  <c r="B36" i="26"/>
  <c r="D36" i="26" s="1"/>
  <c r="B35" i="26"/>
  <c r="D35" i="26" s="1"/>
  <c r="B21" i="26"/>
  <c r="D21" i="26" s="1"/>
  <c r="B33" i="26"/>
  <c r="D33" i="26" s="1"/>
  <c r="B37" i="26"/>
  <c r="D37" i="26" s="1"/>
  <c r="B22" i="26"/>
  <c r="D22" i="26" s="1"/>
  <c r="B38" i="26"/>
  <c r="D38" i="26" s="1"/>
  <c r="B31" i="26"/>
  <c r="D31" i="26" s="1"/>
  <c r="B32" i="26"/>
  <c r="D32" i="26" s="1"/>
  <c r="K23" i="2"/>
  <c r="K14" i="2" s="1"/>
  <c r="B16" i="2"/>
  <c r="B416" i="59" s="1"/>
  <c r="K45" i="2"/>
  <c r="G45" i="2"/>
  <c r="H3" i="50"/>
  <c r="T16" i="2"/>
  <c r="B38" i="2"/>
  <c r="B34" i="46"/>
  <c r="D35" i="46"/>
  <c r="C35" i="46"/>
  <c r="A108" i="47" s="1"/>
  <c r="C64" i="2"/>
  <c r="D10" i="50"/>
  <c r="V17" i="2"/>
  <c r="C37" i="2"/>
  <c r="M14" i="2"/>
  <c r="C16" i="2"/>
  <c r="K54" i="2"/>
  <c r="U38" i="46"/>
  <c r="U40" i="46"/>
  <c r="U39" i="46"/>
  <c r="U43" i="46"/>
  <c r="U41" i="46"/>
  <c r="U42" i="46"/>
  <c r="Y5" i="58"/>
  <c r="Y4" i="58"/>
  <c r="B426" i="59" l="1"/>
  <c r="B65" i="2"/>
  <c r="B52" i="2"/>
  <c r="C10" i="50" s="1"/>
  <c r="B10" i="50" s="1"/>
  <c r="H12" i="50"/>
  <c r="L12" i="50" s="1"/>
  <c r="J53" i="2"/>
  <c r="C27" i="2"/>
  <c r="C427" i="59" s="1"/>
  <c r="B66" i="2"/>
  <c r="C8" i="50"/>
  <c r="B8" i="50" s="1"/>
  <c r="B67" i="2"/>
  <c r="C7" i="50"/>
  <c r="B7" i="50" s="1"/>
  <c r="B64" i="2"/>
  <c r="C12" i="50"/>
  <c r="B12" i="50" s="1"/>
  <c r="B63" i="2"/>
  <c r="AD5" i="58"/>
  <c r="AE5" i="58" s="1"/>
  <c r="AF5" i="58" s="1"/>
  <c r="O5" i="58"/>
  <c r="P5" i="58" s="1"/>
  <c r="Q5" i="58" s="1"/>
  <c r="R5" i="58" s="1"/>
  <c r="S5" i="58" s="1"/>
  <c r="T5" i="58" s="1"/>
  <c r="U5" i="58" s="1"/>
  <c r="V5" i="58" s="1"/>
  <c r="W5" i="58" s="1"/>
  <c r="X5" i="58" s="1"/>
  <c r="AD4" i="58"/>
  <c r="AE4" i="58" s="1"/>
  <c r="AF4" i="58" s="1"/>
  <c r="O4" i="58"/>
  <c r="P4" i="58" s="1"/>
  <c r="Q4" i="58" s="1"/>
  <c r="R4" i="58" s="1"/>
  <c r="S4" i="58" s="1"/>
  <c r="T4" i="58" s="1"/>
  <c r="U4" i="58" s="1"/>
  <c r="V4" i="58" s="1"/>
  <c r="W4" i="58" s="1"/>
  <c r="X4" i="58" s="1"/>
  <c r="C416" i="59"/>
  <c r="H52" i="2"/>
  <c r="J52" i="2" s="1"/>
  <c r="C437" i="59"/>
  <c r="F53" i="2"/>
  <c r="G53" i="2" s="1"/>
  <c r="G11" i="50" s="1"/>
  <c r="B438" i="59"/>
  <c r="G3" i="50"/>
  <c r="AB92" i="47"/>
  <c r="AJ92" i="47"/>
  <c r="AK92" i="47"/>
  <c r="AY96" i="47" s="1"/>
  <c r="AE92" i="47"/>
  <c r="AH92" i="47"/>
  <c r="AA92" i="47"/>
  <c r="AD92" i="47"/>
  <c r="AI92" i="47"/>
  <c r="Y92" i="47"/>
  <c r="X92" i="47"/>
  <c r="AF92" i="47"/>
  <c r="AC92" i="47"/>
  <c r="W92" i="47"/>
  <c r="Z92" i="47"/>
  <c r="AG92" i="47"/>
  <c r="V92" i="47"/>
  <c r="AI86" i="47"/>
  <c r="AE86" i="47"/>
  <c r="AK86" i="47"/>
  <c r="AY90" i="47" s="1"/>
  <c r="AH86" i="47"/>
  <c r="W86" i="47"/>
  <c r="V86" i="47"/>
  <c r="Y86" i="47"/>
  <c r="AB86" i="47"/>
  <c r="AA86" i="47"/>
  <c r="AF86" i="47"/>
  <c r="AC86" i="47"/>
  <c r="AD86" i="47"/>
  <c r="AG86" i="47"/>
  <c r="AJ86" i="47"/>
  <c r="X86" i="47"/>
  <c r="Z86" i="47"/>
  <c r="AF97" i="47"/>
  <c r="AB97" i="47"/>
  <c r="V97" i="47"/>
  <c r="AE97" i="47"/>
  <c r="AI97" i="47"/>
  <c r="AC97" i="47"/>
  <c r="AA97" i="47"/>
  <c r="AJ97" i="47"/>
  <c r="AD97" i="47"/>
  <c r="AH97" i="47"/>
  <c r="Y97" i="47"/>
  <c r="Z97" i="47"/>
  <c r="AG97" i="47"/>
  <c r="AK97" i="47"/>
  <c r="AY101" i="47" s="1"/>
  <c r="W97" i="47"/>
  <c r="X97" i="47"/>
  <c r="AC74" i="47"/>
  <c r="Z74" i="47"/>
  <c r="Y74" i="47"/>
  <c r="AB74" i="47"/>
  <c r="AK74" i="47"/>
  <c r="AY78" i="47" s="1"/>
  <c r="AF74" i="47"/>
  <c r="AG74" i="47"/>
  <c r="AJ74" i="47"/>
  <c r="X74" i="47"/>
  <c r="AI74" i="47"/>
  <c r="AH74" i="47"/>
  <c r="W74" i="47"/>
  <c r="AE74" i="47"/>
  <c r="AA74" i="47"/>
  <c r="V74" i="47"/>
  <c r="AD74" i="47"/>
  <c r="V80" i="47"/>
  <c r="AK80" i="47"/>
  <c r="AY84" i="47" s="1"/>
  <c r="AB80" i="47"/>
  <c r="Y80" i="47"/>
  <c r="Z80" i="47"/>
  <c r="AC80" i="47"/>
  <c r="X80" i="47"/>
  <c r="AF80" i="47"/>
  <c r="AE80" i="47"/>
  <c r="AA80" i="47"/>
  <c r="AJ80" i="47"/>
  <c r="W80" i="47"/>
  <c r="AH80" i="47"/>
  <c r="AI80" i="47"/>
  <c r="AG80" i="47"/>
  <c r="AD80" i="47"/>
  <c r="W68" i="47"/>
  <c r="V68" i="47"/>
  <c r="Y68" i="47"/>
  <c r="AH68" i="47"/>
  <c r="AA68" i="47"/>
  <c r="AD68" i="47"/>
  <c r="AC68" i="47"/>
  <c r="Z68" i="47"/>
  <c r="AE68" i="47"/>
  <c r="X68" i="47"/>
  <c r="AG68" i="47"/>
  <c r="AJ68" i="47"/>
  <c r="AI68" i="47"/>
  <c r="AF68" i="47"/>
  <c r="AK68" i="47"/>
  <c r="AY72" i="47" s="1"/>
  <c r="AB68" i="47"/>
  <c r="C46" i="33"/>
  <c r="D46" i="33" s="1"/>
  <c r="E46" i="34" s="1"/>
  <c r="B2" i="32" s="1"/>
  <c r="E2" i="32" s="1"/>
  <c r="H3" i="32" s="1"/>
  <c r="K3" i="32" s="1"/>
  <c r="J11" i="32" s="1"/>
  <c r="H7" i="32" s="1"/>
  <c r="B10" i="49"/>
  <c r="C10" i="49" s="1"/>
  <c r="V18" i="2"/>
  <c r="C36" i="2"/>
  <c r="H11" i="50"/>
  <c r="L11" i="50" s="1"/>
  <c r="AV23" i="42"/>
  <c r="B15" i="24"/>
  <c r="F65" i="2"/>
  <c r="B4" i="30"/>
  <c r="BO16" i="42"/>
  <c r="BP16" i="42" s="1"/>
  <c r="BS16" i="42"/>
  <c r="BT16" i="42" s="1"/>
  <c r="BO22" i="42"/>
  <c r="BP22" i="42" s="1"/>
  <c r="BS22" i="42"/>
  <c r="BT22" i="42" s="1"/>
  <c r="BS21" i="42"/>
  <c r="BT21" i="42" s="1"/>
  <c r="BO21" i="42"/>
  <c r="BP21" i="42" s="1"/>
  <c r="BS5" i="42"/>
  <c r="BT5" i="42" s="1"/>
  <c r="BF5" i="42"/>
  <c r="BG5" i="42" s="1"/>
  <c r="BO20" i="42"/>
  <c r="BP20" i="42" s="1"/>
  <c r="BS20" i="42"/>
  <c r="BT20" i="42" s="1"/>
  <c r="BO12" i="42"/>
  <c r="BP12" i="42" s="1"/>
  <c r="BS12" i="42"/>
  <c r="BT12" i="42" s="1"/>
  <c r="BF12" i="42"/>
  <c r="BG12" i="42" s="1"/>
  <c r="BS8" i="42"/>
  <c r="BT8" i="42" s="1"/>
  <c r="BF8" i="42"/>
  <c r="BG8" i="42" s="1"/>
  <c r="BS4" i="42"/>
  <c r="BT4" i="42" s="1"/>
  <c r="BF4" i="42"/>
  <c r="BG4" i="42" s="1"/>
  <c r="BS7" i="42"/>
  <c r="BT7" i="42" s="1"/>
  <c r="BF7" i="42"/>
  <c r="BG7" i="42" s="1"/>
  <c r="BS9" i="42"/>
  <c r="BT9" i="42" s="1"/>
  <c r="BF9" i="42"/>
  <c r="BG9" i="42" s="1"/>
  <c r="BS3" i="42"/>
  <c r="BT3" i="42" s="1"/>
  <c r="BF3" i="42"/>
  <c r="BG3" i="42" s="1"/>
  <c r="C13" i="50"/>
  <c r="B13" i="50" s="1"/>
  <c r="B61" i="2"/>
  <c r="C7" i="2"/>
  <c r="M15" i="2"/>
  <c r="B33" i="46"/>
  <c r="C34" i="46"/>
  <c r="A107" i="47" s="1"/>
  <c r="D34" i="46"/>
  <c r="T17" i="2"/>
  <c r="B37" i="2"/>
  <c r="L3" i="50"/>
  <c r="C21" i="50"/>
  <c r="B21" i="50" s="1"/>
  <c r="B7" i="2"/>
  <c r="K15" i="2"/>
  <c r="BS15" i="42"/>
  <c r="BT15" i="42" s="1"/>
  <c r="BO15" i="42"/>
  <c r="BP15" i="42" s="1"/>
  <c r="BS6" i="42"/>
  <c r="BT6" i="42" s="1"/>
  <c r="BF6" i="42"/>
  <c r="BG6" i="42" s="1"/>
  <c r="BS17" i="42"/>
  <c r="BT17" i="42" s="1"/>
  <c r="BO17" i="42"/>
  <c r="BP17" i="42" s="1"/>
  <c r="BS19" i="42"/>
  <c r="BT19" i="42" s="1"/>
  <c r="BO19" i="42"/>
  <c r="BP19" i="42" s="1"/>
  <c r="BS11" i="42"/>
  <c r="BT11" i="42" s="1"/>
  <c r="BF11" i="42"/>
  <c r="BG11" i="42" s="1"/>
  <c r="BO14" i="42"/>
  <c r="BP14" i="42" s="1"/>
  <c r="BS14" i="42"/>
  <c r="BT14" i="42" s="1"/>
  <c r="BS2" i="42"/>
  <c r="BT2" i="42" s="1"/>
  <c r="BF2" i="42"/>
  <c r="BG2" i="42" s="1"/>
  <c r="BS13" i="42"/>
  <c r="BT13" i="42" s="1"/>
  <c r="BO13" i="42"/>
  <c r="BP13" i="42" s="1"/>
  <c r="BO18" i="42"/>
  <c r="BP18" i="42" s="1"/>
  <c r="BS18" i="42"/>
  <c r="BT18" i="42" s="1"/>
  <c r="BS10" i="42"/>
  <c r="BT10" i="42" s="1"/>
  <c r="BF10" i="42"/>
  <c r="BG10" i="42" s="1"/>
  <c r="U37" i="46"/>
  <c r="U36" i="46"/>
  <c r="U35" i="46"/>
  <c r="Y3" i="58"/>
  <c r="C7" i="58"/>
  <c r="C6" i="58"/>
  <c r="U34" i="46"/>
  <c r="C5" i="58"/>
  <c r="C3" i="58"/>
  <c r="C4" i="58"/>
  <c r="C8" i="58"/>
  <c r="C55" i="2" l="1"/>
  <c r="AD3" i="58"/>
  <c r="AE3" i="58" s="1"/>
  <c r="AF3" i="58" s="1"/>
  <c r="O3" i="58"/>
  <c r="P3" i="58" s="1"/>
  <c r="Q3" i="58" s="1"/>
  <c r="R3" i="58" s="1"/>
  <c r="S3" i="58" s="1"/>
  <c r="T3" i="58" s="1"/>
  <c r="U3" i="58" s="1"/>
  <c r="V3" i="58" s="1"/>
  <c r="W3" i="58" s="1"/>
  <c r="X3" i="58" s="1"/>
  <c r="AJ62" i="47"/>
  <c r="AA62" i="47"/>
  <c r="AE62" i="47"/>
  <c r="AI62" i="47"/>
  <c r="W62" i="47"/>
  <c r="AK62" i="47"/>
  <c r="AY66" i="47" s="1"/>
  <c r="AG62" i="47"/>
  <c r="AC62" i="47"/>
  <c r="Y62" i="47"/>
  <c r="AH62" i="47"/>
  <c r="AF62" i="47"/>
  <c r="AD62" i="47"/>
  <c r="AB62" i="47"/>
  <c r="Z62" i="47"/>
  <c r="X62" i="47"/>
  <c r="V62" i="47"/>
  <c r="AG56" i="47"/>
  <c r="AI56" i="47"/>
  <c r="AB56" i="47"/>
  <c r="Z56" i="47"/>
  <c r="Y56" i="47"/>
  <c r="AA56" i="47"/>
  <c r="AC56" i="47"/>
  <c r="AK56" i="47"/>
  <c r="AY60" i="47" s="1"/>
  <c r="AH56" i="47"/>
  <c r="AD56" i="47"/>
  <c r="X56" i="47"/>
  <c r="V56" i="47"/>
  <c r="AJ56" i="47"/>
  <c r="AF56" i="47"/>
  <c r="W56" i="47"/>
  <c r="AE56" i="47"/>
  <c r="AC50" i="47"/>
  <c r="X50" i="47"/>
  <c r="W50" i="47"/>
  <c r="AJ50" i="47"/>
  <c r="Y50" i="47"/>
  <c r="AI50" i="47"/>
  <c r="AG50" i="47"/>
  <c r="AA50" i="47"/>
  <c r="AK50" i="47"/>
  <c r="AY54" i="47" s="1"/>
  <c r="Z50" i="47"/>
  <c r="AE50" i="47"/>
  <c r="V50" i="47"/>
  <c r="AH50" i="47"/>
  <c r="AD50" i="47"/>
  <c r="AF50" i="47"/>
  <c r="AB50" i="47"/>
  <c r="D4" i="58"/>
  <c r="I10" i="50"/>
  <c r="K53" i="2"/>
  <c r="Z4" i="58"/>
  <c r="AA4" i="58" s="1"/>
  <c r="Z7" i="58"/>
  <c r="AA7" i="58" s="1"/>
  <c r="Z8" i="58"/>
  <c r="AA8" i="58" s="1"/>
  <c r="Z3" i="58"/>
  <c r="AA3" i="58" s="1"/>
  <c r="D3" i="58"/>
  <c r="Z5" i="58"/>
  <c r="AA5" i="58" s="1"/>
  <c r="Z6" i="58"/>
  <c r="AA6" i="58" s="1"/>
  <c r="F52" i="2"/>
  <c r="G52" i="2" s="1"/>
  <c r="G10" i="50" s="1"/>
  <c r="B437" i="59"/>
  <c r="H57" i="2"/>
  <c r="I15" i="50" s="1"/>
  <c r="C407" i="59"/>
  <c r="F56" i="2"/>
  <c r="K56" i="2" s="1"/>
  <c r="B407" i="59"/>
  <c r="H51" i="2"/>
  <c r="J51" i="2" s="1"/>
  <c r="C436" i="59"/>
  <c r="C28" i="54"/>
  <c r="H28" i="54" s="1"/>
  <c r="C30" i="54"/>
  <c r="H30" i="54" s="1"/>
  <c r="C32" i="54"/>
  <c r="H32" i="54" s="1"/>
  <c r="C34" i="54"/>
  <c r="H34" i="54" s="1"/>
  <c r="C36" i="54"/>
  <c r="H36" i="54" s="1"/>
  <c r="C38" i="54"/>
  <c r="H38" i="54" s="1"/>
  <c r="C40" i="54"/>
  <c r="H40" i="54" s="1"/>
  <c r="C42" i="54"/>
  <c r="H42" i="54" s="1"/>
  <c r="C44" i="54"/>
  <c r="H44" i="54" s="1"/>
  <c r="C46" i="54"/>
  <c r="H46" i="54" s="1"/>
  <c r="C27" i="30"/>
  <c r="J27" i="30" s="1"/>
  <c r="C29" i="30"/>
  <c r="J29" i="30" s="1"/>
  <c r="C31" i="30"/>
  <c r="J31" i="30" s="1"/>
  <c r="C33" i="30"/>
  <c r="J33" i="30" s="1"/>
  <c r="C35" i="30"/>
  <c r="J35" i="30" s="1"/>
  <c r="C37" i="30"/>
  <c r="J37" i="30" s="1"/>
  <c r="C39" i="30"/>
  <c r="J39" i="30" s="1"/>
  <c r="C41" i="30"/>
  <c r="J41" i="30" s="1"/>
  <c r="C43" i="30"/>
  <c r="J43" i="30" s="1"/>
  <c r="C45" i="30"/>
  <c r="J45" i="30" s="1"/>
  <c r="C26" i="30"/>
  <c r="J26" i="30" s="1"/>
  <c r="C27" i="54"/>
  <c r="H27" i="54" s="1"/>
  <c r="C29" i="54"/>
  <c r="H29" i="54" s="1"/>
  <c r="C31" i="54"/>
  <c r="H31" i="54" s="1"/>
  <c r="C33" i="54"/>
  <c r="H33" i="54" s="1"/>
  <c r="C35" i="54"/>
  <c r="H35" i="54" s="1"/>
  <c r="C37" i="54"/>
  <c r="H37" i="54" s="1"/>
  <c r="C39" i="54"/>
  <c r="H39" i="54" s="1"/>
  <c r="C41" i="54"/>
  <c r="H41" i="54" s="1"/>
  <c r="C43" i="54"/>
  <c r="H43" i="54" s="1"/>
  <c r="C45" i="54"/>
  <c r="H45" i="54" s="1"/>
  <c r="C26" i="54"/>
  <c r="H26" i="54" s="1"/>
  <c r="C28" i="30"/>
  <c r="J28" i="30" s="1"/>
  <c r="C30" i="30"/>
  <c r="J30" i="30" s="1"/>
  <c r="C32" i="30"/>
  <c r="J32" i="30" s="1"/>
  <c r="C34" i="30"/>
  <c r="J34" i="30" s="1"/>
  <c r="C36" i="30"/>
  <c r="J36" i="30" s="1"/>
  <c r="C40" i="30"/>
  <c r="J40" i="30" s="1"/>
  <c r="C44" i="30"/>
  <c r="J44" i="30" s="1"/>
  <c r="C38" i="30"/>
  <c r="J38" i="30" s="1"/>
  <c r="C42" i="30"/>
  <c r="J42" i="30" s="1"/>
  <c r="C46" i="30"/>
  <c r="J46" i="30" s="1"/>
  <c r="H6" i="32"/>
  <c r="H36" i="53"/>
  <c r="H51" i="53"/>
  <c r="H52" i="53"/>
  <c r="H41" i="53"/>
  <c r="H46" i="53"/>
  <c r="H44" i="53"/>
  <c r="H39" i="53"/>
  <c r="H45" i="53"/>
  <c r="H50" i="53"/>
  <c r="H34" i="53"/>
  <c r="H43" i="53"/>
  <c r="H40" i="53"/>
  <c r="H49" i="53"/>
  <c r="H33" i="53"/>
  <c r="H38" i="53"/>
  <c r="H47" i="53"/>
  <c r="H48" i="53"/>
  <c r="H53" i="53"/>
  <c r="H37" i="53"/>
  <c r="H42" i="53"/>
  <c r="H35" i="53"/>
  <c r="H8" i="32"/>
  <c r="H10" i="32"/>
  <c r="H9" i="32"/>
  <c r="H11" i="32"/>
  <c r="AD44" i="47"/>
  <c r="AF44" i="47"/>
  <c r="AH44" i="47"/>
  <c r="AJ44" i="47"/>
  <c r="V44" i="47"/>
  <c r="Z44" i="47"/>
  <c r="W44" i="47"/>
  <c r="Y44" i="47"/>
  <c r="AE44" i="47"/>
  <c r="AI44" i="47"/>
  <c r="AC44" i="47"/>
  <c r="AB44" i="47"/>
  <c r="AG44" i="47"/>
  <c r="AK44" i="47"/>
  <c r="AY48" i="47" s="1"/>
  <c r="X44" i="47"/>
  <c r="AA44" i="47"/>
  <c r="BG23" i="42"/>
  <c r="BG25" i="42" s="1"/>
  <c r="B8" i="2"/>
  <c r="K16" i="2"/>
  <c r="C33" i="46"/>
  <c r="A106" i="47" s="1"/>
  <c r="D33" i="46"/>
  <c r="B32" i="46"/>
  <c r="C25" i="31"/>
  <c r="H25" i="31" s="1"/>
  <c r="J25" i="31" s="1"/>
  <c r="C29" i="31"/>
  <c r="H29" i="31" s="1"/>
  <c r="J29" i="31" s="1"/>
  <c r="C33" i="31"/>
  <c r="H33" i="31" s="1"/>
  <c r="J33" i="31" s="1"/>
  <c r="C37" i="31"/>
  <c r="H37" i="31" s="1"/>
  <c r="J37" i="31" s="1"/>
  <c r="C41" i="31"/>
  <c r="H41" i="31" s="1"/>
  <c r="J41" i="31" s="1"/>
  <c r="C24" i="31"/>
  <c r="H24" i="31" s="1"/>
  <c r="J24" i="31" s="1"/>
  <c r="C28" i="31"/>
  <c r="H28" i="31" s="1"/>
  <c r="J28" i="31" s="1"/>
  <c r="C32" i="31"/>
  <c r="H32" i="31" s="1"/>
  <c r="J32" i="31" s="1"/>
  <c r="C36" i="31"/>
  <c r="H36" i="31" s="1"/>
  <c r="J36" i="31" s="1"/>
  <c r="C40" i="31"/>
  <c r="H40" i="31" s="1"/>
  <c r="J40" i="31" s="1"/>
  <c r="C23" i="32"/>
  <c r="C22" i="32"/>
  <c r="C25" i="32"/>
  <c r="C24" i="32"/>
  <c r="C35" i="32"/>
  <c r="C29" i="32"/>
  <c r="C33" i="32"/>
  <c r="C27" i="32"/>
  <c r="C37" i="32"/>
  <c r="C31" i="32"/>
  <c r="C21" i="32"/>
  <c r="L24" i="33" s="1"/>
  <c r="C22" i="31"/>
  <c r="H22" i="31" s="1"/>
  <c r="J22" i="31" s="1"/>
  <c r="C34" i="31"/>
  <c r="H34" i="31" s="1"/>
  <c r="J34" i="31" s="1"/>
  <c r="C39" i="32"/>
  <c r="C38" i="32"/>
  <c r="C28" i="32"/>
  <c r="C30" i="32"/>
  <c r="C23" i="31"/>
  <c r="H23" i="31" s="1"/>
  <c r="J23" i="31" s="1"/>
  <c r="C27" i="31"/>
  <c r="H27" i="31" s="1"/>
  <c r="J27" i="31" s="1"/>
  <c r="C31" i="31"/>
  <c r="H31" i="31" s="1"/>
  <c r="J31" i="31" s="1"/>
  <c r="C35" i="31"/>
  <c r="H35" i="31" s="1"/>
  <c r="J35" i="31" s="1"/>
  <c r="C39" i="31"/>
  <c r="H39" i="31" s="1"/>
  <c r="J39" i="31" s="1"/>
  <c r="C26" i="31"/>
  <c r="H26" i="31" s="1"/>
  <c r="J26" i="31" s="1"/>
  <c r="C30" i="31"/>
  <c r="H30" i="31" s="1"/>
  <c r="J30" i="31" s="1"/>
  <c r="C38" i="31"/>
  <c r="H38" i="31" s="1"/>
  <c r="J38" i="31" s="1"/>
  <c r="C21" i="31"/>
  <c r="C41" i="32"/>
  <c r="C40" i="32"/>
  <c r="C34" i="32"/>
  <c r="C26" i="32"/>
  <c r="C32" i="32"/>
  <c r="C36" i="32"/>
  <c r="H28" i="27"/>
  <c r="B34" i="56" s="1"/>
  <c r="H26" i="27"/>
  <c r="B32" i="56" s="1"/>
  <c r="H22" i="27"/>
  <c r="B28" i="56" s="1"/>
  <c r="H40" i="27"/>
  <c r="B46" i="56" s="1"/>
  <c r="H31" i="27"/>
  <c r="B37" i="56" s="1"/>
  <c r="H36" i="27"/>
  <c r="B42" i="56" s="1"/>
  <c r="H27" i="27"/>
  <c r="B33" i="56" s="1"/>
  <c r="H29" i="27"/>
  <c r="B35" i="56" s="1"/>
  <c r="H34" i="27"/>
  <c r="B40" i="56" s="1"/>
  <c r="H25" i="27"/>
  <c r="B31" i="56" s="1"/>
  <c r="H38" i="27"/>
  <c r="B44" i="56" s="1"/>
  <c r="H30" i="27"/>
  <c r="B36" i="56" s="1"/>
  <c r="H41" i="27"/>
  <c r="B47" i="56" s="1"/>
  <c r="H35" i="27"/>
  <c r="B41" i="56" s="1"/>
  <c r="H24" i="27"/>
  <c r="B30" i="56" s="1"/>
  <c r="H37" i="27"/>
  <c r="B43" i="56" s="1"/>
  <c r="H33" i="27"/>
  <c r="B39" i="56" s="1"/>
  <c r="H39" i="27"/>
  <c r="B45" i="56" s="1"/>
  <c r="H21" i="27"/>
  <c r="B27" i="56" s="1"/>
  <c r="H23" i="27"/>
  <c r="B29" i="56" s="1"/>
  <c r="H32" i="27"/>
  <c r="B38" i="56" s="1"/>
  <c r="V19" i="2"/>
  <c r="C35" i="2"/>
  <c r="C61" i="2"/>
  <c r="D13" i="50"/>
  <c r="BT23" i="42"/>
  <c r="BT25" i="42" s="1"/>
  <c r="BT27" i="42" s="1"/>
  <c r="G56" i="2"/>
  <c r="G14" i="50" s="1"/>
  <c r="B36" i="2"/>
  <c r="T18" i="2"/>
  <c r="C8" i="2"/>
  <c r="M16" i="2"/>
  <c r="BP23" i="42"/>
  <c r="BP25" i="42" s="1"/>
  <c r="K65" i="2"/>
  <c r="E23" i="49" s="1"/>
  <c r="G65" i="2"/>
  <c r="H23" i="50"/>
  <c r="F28" i="25"/>
  <c r="F30" i="26"/>
  <c r="F32" i="25"/>
  <c r="F32" i="26"/>
  <c r="F34" i="26"/>
  <c r="F34" i="25"/>
  <c r="F37" i="26"/>
  <c r="F31" i="25"/>
  <c r="F27" i="25"/>
  <c r="F30" i="25"/>
  <c r="F29" i="26"/>
  <c r="F29" i="25"/>
  <c r="F35" i="26"/>
  <c r="F26" i="25"/>
  <c r="F33" i="26"/>
  <c r="F31" i="26"/>
  <c r="F33" i="25"/>
  <c r="F36" i="26"/>
  <c r="F28" i="26"/>
  <c r="F25" i="25"/>
  <c r="F24" i="25"/>
  <c r="F27" i="26"/>
  <c r="F47" i="56"/>
  <c r="F45" i="56"/>
  <c r="F27" i="56"/>
  <c r="F34" i="56"/>
  <c r="F41" i="56"/>
  <c r="F46" i="56"/>
  <c r="F35" i="56"/>
  <c r="F38" i="56"/>
  <c r="F31" i="56"/>
  <c r="F37" i="56"/>
  <c r="F29" i="56"/>
  <c r="F43" i="56"/>
  <c r="F33" i="56"/>
  <c r="F40" i="56"/>
  <c r="F44" i="56"/>
  <c r="F32" i="56"/>
  <c r="F39" i="56"/>
  <c r="F28" i="56"/>
  <c r="F42" i="56"/>
  <c r="F30" i="56"/>
  <c r="F36" i="56"/>
  <c r="F26" i="26"/>
  <c r="F25" i="26"/>
  <c r="F19" i="26"/>
  <c r="F15" i="25"/>
  <c r="F17" i="25"/>
  <c r="F21" i="25"/>
  <c r="F16" i="25"/>
  <c r="F23" i="26"/>
  <c r="F22" i="25"/>
  <c r="F18" i="25"/>
  <c r="U33" i="46"/>
  <c r="F23" i="25"/>
  <c r="F24" i="26"/>
  <c r="F18" i="26"/>
  <c r="F21" i="26"/>
  <c r="F20" i="26"/>
  <c r="F38" i="26"/>
  <c r="F22" i="26"/>
  <c r="F20" i="25"/>
  <c r="F35" i="25"/>
  <c r="F19" i="25"/>
  <c r="I9" i="50" l="1"/>
  <c r="J57" i="2"/>
  <c r="H10" i="50"/>
  <c r="L10" i="50" s="1"/>
  <c r="H58" i="2"/>
  <c r="J58" i="2" s="1"/>
  <c r="C408" i="59"/>
  <c r="F51" i="2"/>
  <c r="H9" i="50" s="1"/>
  <c r="L9" i="50" s="1"/>
  <c r="B436" i="59"/>
  <c r="H14" i="50"/>
  <c r="L14" i="50" s="1"/>
  <c r="H50" i="2"/>
  <c r="J50" i="2" s="1"/>
  <c r="C435" i="59"/>
  <c r="K52" i="2"/>
  <c r="F57" i="2"/>
  <c r="H15" i="50" s="1"/>
  <c r="L15" i="50" s="1"/>
  <c r="B408" i="59"/>
  <c r="G23" i="50"/>
  <c r="L72" i="34"/>
  <c r="L51" i="34"/>
  <c r="H21" i="31"/>
  <c r="J21" i="31" s="1"/>
  <c r="I36" i="26"/>
  <c r="I33" i="25"/>
  <c r="R49" i="36"/>
  <c r="AB127" i="18" s="1"/>
  <c r="I31" i="26"/>
  <c r="I33" i="26"/>
  <c r="R42" i="36"/>
  <c r="Z92" i="18" s="1"/>
  <c r="I26" i="25"/>
  <c r="I35" i="26"/>
  <c r="R45" i="36"/>
  <c r="V107" i="18" s="1"/>
  <c r="I29" i="25"/>
  <c r="I29" i="26"/>
  <c r="R46" i="36"/>
  <c r="AA112" i="18" s="1"/>
  <c r="I30" i="25"/>
  <c r="R43" i="36"/>
  <c r="Z97" i="18" s="1"/>
  <c r="I27" i="25"/>
  <c r="R47" i="36"/>
  <c r="AJ117" i="18" s="1"/>
  <c r="I31" i="25"/>
  <c r="I37" i="26"/>
  <c r="R50" i="36"/>
  <c r="AC132" i="18" s="1"/>
  <c r="I34" i="25"/>
  <c r="I34" i="26"/>
  <c r="I32" i="26"/>
  <c r="R48" i="36"/>
  <c r="AG122" i="18" s="1"/>
  <c r="I32" i="25"/>
  <c r="I30" i="26"/>
  <c r="R44" i="36"/>
  <c r="AB102" i="18" s="1"/>
  <c r="I28" i="25"/>
  <c r="I28" i="26"/>
  <c r="R41" i="36"/>
  <c r="W86" i="18" s="1"/>
  <c r="I25" i="25"/>
  <c r="R40" i="36"/>
  <c r="AG80" i="18" s="1"/>
  <c r="I24" i="25"/>
  <c r="I27" i="26"/>
  <c r="F34" i="32"/>
  <c r="F28" i="32"/>
  <c r="F29" i="32"/>
  <c r="B32" i="32"/>
  <c r="F25" i="32"/>
  <c r="B37" i="32"/>
  <c r="B24" i="32"/>
  <c r="B33" i="32"/>
  <c r="B25" i="32"/>
  <c r="B23" i="32"/>
  <c r="F22" i="32"/>
  <c r="F36" i="32"/>
  <c r="F38" i="32"/>
  <c r="F37" i="32"/>
  <c r="F39" i="32"/>
  <c r="F35" i="32"/>
  <c r="F21" i="32"/>
  <c r="B30" i="32"/>
  <c r="F31" i="32"/>
  <c r="F26" i="32"/>
  <c r="F33" i="32"/>
  <c r="B22" i="32"/>
  <c r="F41" i="32"/>
  <c r="B31" i="32"/>
  <c r="B40" i="32"/>
  <c r="B28" i="32"/>
  <c r="B21" i="32"/>
  <c r="B39" i="32"/>
  <c r="B38" i="32"/>
  <c r="B34" i="32"/>
  <c r="B36" i="32"/>
  <c r="B35" i="32"/>
  <c r="B41" i="32"/>
  <c r="F27" i="32"/>
  <c r="F24" i="32"/>
  <c r="B26" i="32"/>
  <c r="B29" i="32"/>
  <c r="F30" i="32"/>
  <c r="F23" i="32"/>
  <c r="B27" i="32"/>
  <c r="F40" i="32"/>
  <c r="F32" i="32"/>
  <c r="R39" i="36"/>
  <c r="W74" i="18" s="1"/>
  <c r="I23" i="25"/>
  <c r="I26" i="26"/>
  <c r="C48" i="30"/>
  <c r="D48" i="30" s="1"/>
  <c r="P44" i="29" s="1"/>
  <c r="I24" i="26"/>
  <c r="R33" i="36"/>
  <c r="I17" i="25"/>
  <c r="R35" i="36"/>
  <c r="I19" i="25"/>
  <c r="I20" i="26"/>
  <c r="R31" i="36"/>
  <c r="I15" i="25"/>
  <c r="R37" i="36"/>
  <c r="I21" i="25"/>
  <c r="I21" i="26"/>
  <c r="R34" i="36"/>
  <c r="I18" i="25"/>
  <c r="R38" i="36"/>
  <c r="I22" i="25"/>
  <c r="I19" i="26"/>
  <c r="I25" i="26"/>
  <c r="I23" i="26"/>
  <c r="I18" i="26"/>
  <c r="R36" i="36"/>
  <c r="I20" i="25"/>
  <c r="I22" i="26"/>
  <c r="R32" i="36"/>
  <c r="I16" i="25"/>
  <c r="AK38" i="47"/>
  <c r="AE38" i="47"/>
  <c r="AG38" i="47"/>
  <c r="AA38" i="47"/>
  <c r="Z38" i="47"/>
  <c r="V38" i="47"/>
  <c r="W38" i="47"/>
  <c r="AC38" i="47"/>
  <c r="AF38" i="47"/>
  <c r="AB38" i="47"/>
  <c r="AI38" i="47"/>
  <c r="Y38" i="47"/>
  <c r="AH38" i="47"/>
  <c r="AD38" i="47"/>
  <c r="X38" i="47"/>
  <c r="AJ38" i="47"/>
  <c r="C17" i="50"/>
  <c r="B17" i="50" s="1"/>
  <c r="L23" i="50"/>
  <c r="C9" i="2"/>
  <c r="M17" i="2"/>
  <c r="B35" i="2"/>
  <c r="T19" i="2"/>
  <c r="D24" i="32"/>
  <c r="E24" i="32" s="1"/>
  <c r="M30" i="32"/>
  <c r="I8" i="50"/>
  <c r="L32" i="32"/>
  <c r="L35" i="33"/>
  <c r="H32" i="32"/>
  <c r="J32" i="32" s="1"/>
  <c r="H26" i="32"/>
  <c r="J26" i="32" s="1"/>
  <c r="L29" i="33"/>
  <c r="L26" i="32"/>
  <c r="H41" i="32"/>
  <c r="J41" i="32" s="1"/>
  <c r="L44" i="33"/>
  <c r="L41" i="32"/>
  <c r="H30" i="32"/>
  <c r="J30" i="32" s="1"/>
  <c r="L33" i="33"/>
  <c r="L30" i="32"/>
  <c r="L31" i="33"/>
  <c r="H28" i="32"/>
  <c r="J28" i="32" s="1"/>
  <c r="L28" i="32"/>
  <c r="H39" i="32"/>
  <c r="J39" i="32" s="1"/>
  <c r="L42" i="33"/>
  <c r="L39" i="32"/>
  <c r="H21" i="32"/>
  <c r="J21" i="32" s="1"/>
  <c r="L21" i="32"/>
  <c r="L34" i="33"/>
  <c r="H31" i="32"/>
  <c r="J31" i="32" s="1"/>
  <c r="L31" i="32"/>
  <c r="H37" i="32"/>
  <c r="J37" i="32" s="1"/>
  <c r="L37" i="32"/>
  <c r="L40" i="33"/>
  <c r="L35" i="32"/>
  <c r="H35" i="32"/>
  <c r="J35" i="32" s="1"/>
  <c r="L38" i="33"/>
  <c r="H25" i="32"/>
  <c r="J25" i="32" s="1"/>
  <c r="L25" i="32"/>
  <c r="L28" i="33"/>
  <c r="L23" i="32"/>
  <c r="L26" i="33"/>
  <c r="H23" i="32"/>
  <c r="J23" i="32" s="1"/>
  <c r="B31" i="46"/>
  <c r="C32" i="46"/>
  <c r="A105" i="47" s="1"/>
  <c r="D32" i="46"/>
  <c r="K17" i="2"/>
  <c r="B9" i="2"/>
  <c r="I16" i="50"/>
  <c r="G51" i="2"/>
  <c r="G9" i="50" s="1"/>
  <c r="V20" i="2"/>
  <c r="C34" i="2"/>
  <c r="H36" i="32"/>
  <c r="J36" i="32" s="1"/>
  <c r="L39" i="33"/>
  <c r="L36" i="32"/>
  <c r="L34" i="32"/>
  <c r="H34" i="32"/>
  <c r="J34" i="32" s="1"/>
  <c r="L37" i="33"/>
  <c r="L40" i="32"/>
  <c r="L43" i="33"/>
  <c r="H40" i="32"/>
  <c r="J40" i="32" s="1"/>
  <c r="L38" i="32"/>
  <c r="H38" i="32"/>
  <c r="J38" i="32" s="1"/>
  <c r="L41" i="33"/>
  <c r="L27" i="32"/>
  <c r="H27" i="32"/>
  <c r="J27" i="32" s="1"/>
  <c r="L30" i="33"/>
  <c r="H33" i="32"/>
  <c r="J33" i="32" s="1"/>
  <c r="L36" i="33"/>
  <c r="L33" i="32"/>
  <c r="L29" i="32"/>
  <c r="H29" i="32"/>
  <c r="J29" i="32" s="1"/>
  <c r="L32" i="33"/>
  <c r="L27" i="33"/>
  <c r="H24" i="32"/>
  <c r="J24" i="32" s="1"/>
  <c r="L24" i="32"/>
  <c r="L25" i="33"/>
  <c r="H22" i="32"/>
  <c r="J22" i="32" s="1"/>
  <c r="L22" i="32"/>
  <c r="K57" i="2"/>
  <c r="U32" i="46"/>
  <c r="G57" i="2" l="1"/>
  <c r="G15" i="50" s="1"/>
  <c r="K51" i="2"/>
  <c r="Z80" i="18"/>
  <c r="F11" i="42" s="1"/>
  <c r="E47" i="34"/>
  <c r="C6" i="54"/>
  <c r="G2" i="54" s="1"/>
  <c r="J3" i="54" s="1"/>
  <c r="M3" i="54" s="1"/>
  <c r="J13" i="54" s="1"/>
  <c r="Z107" i="18"/>
  <c r="C285" i="59" s="1"/>
  <c r="C724" i="59" s="1"/>
  <c r="AI122" i="18"/>
  <c r="O19" i="42" s="1"/>
  <c r="F50" i="2"/>
  <c r="K50" i="2" s="1"/>
  <c r="B435" i="59"/>
  <c r="H59" i="2"/>
  <c r="J59" i="2" s="1"/>
  <c r="C409" i="59"/>
  <c r="C10" i="42"/>
  <c r="C162" i="59"/>
  <c r="C601" i="59" s="1"/>
  <c r="H15" i="42"/>
  <c r="C267" i="59"/>
  <c r="C706" i="59" s="1"/>
  <c r="P18" i="42"/>
  <c r="C335" i="59"/>
  <c r="C774" i="59" s="1"/>
  <c r="F14" i="42"/>
  <c r="C245" i="59"/>
  <c r="C684" i="59" s="1"/>
  <c r="G17" i="42"/>
  <c r="C306" i="59"/>
  <c r="C745" i="59" s="1"/>
  <c r="F13" i="42"/>
  <c r="C225" i="59"/>
  <c r="C664" i="59" s="1"/>
  <c r="H49" i="2"/>
  <c r="J49" i="2" s="1"/>
  <c r="C434" i="59"/>
  <c r="F16" i="42"/>
  <c r="F58" i="2"/>
  <c r="H16" i="50" s="1"/>
  <c r="L16" i="50" s="1"/>
  <c r="B409" i="59"/>
  <c r="M11" i="42"/>
  <c r="C192" i="59"/>
  <c r="C631" i="59" s="1"/>
  <c r="C12" i="42"/>
  <c r="C202" i="59"/>
  <c r="C641" i="59" s="1"/>
  <c r="M19" i="42"/>
  <c r="C352" i="59"/>
  <c r="C791" i="59" s="1"/>
  <c r="I21" i="42"/>
  <c r="C388" i="59"/>
  <c r="C827" i="59" s="1"/>
  <c r="B16" i="42"/>
  <c r="C281" i="59"/>
  <c r="C720" i="59" s="1"/>
  <c r="H20" i="42"/>
  <c r="C367" i="59"/>
  <c r="C806" i="59" s="1"/>
  <c r="AA97" i="18"/>
  <c r="AC86" i="18"/>
  <c r="Z132" i="18"/>
  <c r="AG127" i="18"/>
  <c r="X122" i="18"/>
  <c r="W80" i="18"/>
  <c r="AE86" i="18"/>
  <c r="AD107" i="18"/>
  <c r="X132" i="18"/>
  <c r="X127" i="18"/>
  <c r="AC122" i="18"/>
  <c r="AE122" i="18"/>
  <c r="X80" i="18"/>
  <c r="AA80" i="18"/>
  <c r="AF86" i="18"/>
  <c r="AA86" i="18"/>
  <c r="AH107" i="18"/>
  <c r="W107" i="18"/>
  <c r="AJ132" i="18"/>
  <c r="AD132" i="18"/>
  <c r="AF127" i="18"/>
  <c r="V127" i="18"/>
  <c r="AH122" i="18"/>
  <c r="V122" i="18"/>
  <c r="AD122" i="18"/>
  <c r="Z122" i="18"/>
  <c r="AJ80" i="18"/>
  <c r="AF80" i="18"/>
  <c r="AB80" i="18"/>
  <c r="V80" i="18"/>
  <c r="AJ86" i="18"/>
  <c r="AH86" i="18"/>
  <c r="Y86" i="18"/>
  <c r="AB86" i="18"/>
  <c r="AJ107" i="18"/>
  <c r="AB107" i="18"/>
  <c r="X107" i="18"/>
  <c r="AG107" i="18"/>
  <c r="AK132" i="18"/>
  <c r="AY136" i="18" s="1"/>
  <c r="V132" i="18"/>
  <c r="AG132" i="18"/>
  <c r="AI132" i="18"/>
  <c r="AI127" i="18"/>
  <c r="AK127" i="18"/>
  <c r="W127" i="18"/>
  <c r="AA127" i="18"/>
  <c r="M27" i="32"/>
  <c r="D83" i="56"/>
  <c r="H83" i="56" s="1"/>
  <c r="I83" i="56" s="1"/>
  <c r="D26" i="32"/>
  <c r="E26" i="32" s="1"/>
  <c r="D82" i="56"/>
  <c r="H82" i="56" s="1"/>
  <c r="I82" i="56" s="1"/>
  <c r="M35" i="32"/>
  <c r="D91" i="56"/>
  <c r="H91" i="56" s="1"/>
  <c r="I91" i="56" s="1"/>
  <c r="M34" i="32"/>
  <c r="D90" i="56"/>
  <c r="H90" i="56" s="1"/>
  <c r="I90" i="56" s="1"/>
  <c r="M39" i="32"/>
  <c r="D95" i="56"/>
  <c r="H95" i="56" s="1"/>
  <c r="I95" i="56" s="1"/>
  <c r="D28" i="32"/>
  <c r="E28" i="32" s="1"/>
  <c r="D84" i="56"/>
  <c r="H84" i="56" s="1"/>
  <c r="I84" i="56" s="1"/>
  <c r="D31" i="32"/>
  <c r="E31" i="32" s="1"/>
  <c r="D87" i="56"/>
  <c r="H87" i="56" s="1"/>
  <c r="I87" i="56" s="1"/>
  <c r="M22" i="32"/>
  <c r="D78" i="56"/>
  <c r="H78" i="56" s="1"/>
  <c r="I78" i="56" s="1"/>
  <c r="D30" i="32"/>
  <c r="E30" i="32" s="1"/>
  <c r="D86" i="56"/>
  <c r="H86" i="56" s="1"/>
  <c r="I86" i="56" s="1"/>
  <c r="M23" i="32"/>
  <c r="D79" i="56"/>
  <c r="H79" i="56" s="1"/>
  <c r="I79" i="56" s="1"/>
  <c r="M33" i="32"/>
  <c r="D89" i="56"/>
  <c r="H89" i="56" s="1"/>
  <c r="I89" i="56" s="1"/>
  <c r="D37" i="32"/>
  <c r="E37" i="32" s="1"/>
  <c r="D93" i="56"/>
  <c r="H93" i="56" s="1"/>
  <c r="I93" i="56" s="1"/>
  <c r="M32" i="32"/>
  <c r="D88" i="56"/>
  <c r="H88" i="56" s="1"/>
  <c r="I88" i="56" s="1"/>
  <c r="M29" i="32"/>
  <c r="D85" i="56"/>
  <c r="H85" i="56" s="1"/>
  <c r="I85" i="56" s="1"/>
  <c r="D41" i="32"/>
  <c r="E41" i="32" s="1"/>
  <c r="D97" i="56"/>
  <c r="H97" i="56" s="1"/>
  <c r="I97" i="56" s="1"/>
  <c r="M36" i="32"/>
  <c r="D92" i="56"/>
  <c r="H92" i="56" s="1"/>
  <c r="I92" i="56" s="1"/>
  <c r="M38" i="32"/>
  <c r="D94" i="56"/>
  <c r="H94" i="56" s="1"/>
  <c r="I94" i="56" s="1"/>
  <c r="D21" i="32"/>
  <c r="E21" i="32" s="1"/>
  <c r="D77" i="56"/>
  <c r="H77" i="56" s="1"/>
  <c r="I77" i="56" s="1"/>
  <c r="D40" i="32"/>
  <c r="E40" i="32" s="1"/>
  <c r="D96" i="56"/>
  <c r="H96" i="56" s="1"/>
  <c r="I96" i="56" s="1"/>
  <c r="D25" i="32"/>
  <c r="E25" i="32" s="1"/>
  <c r="D81" i="56"/>
  <c r="H81" i="56" s="1"/>
  <c r="I81" i="56" s="1"/>
  <c r="M24" i="32"/>
  <c r="D80" i="56"/>
  <c r="H80" i="56" s="1"/>
  <c r="I80" i="56" s="1"/>
  <c r="M26" i="32"/>
  <c r="L53" i="34"/>
  <c r="L55" i="34"/>
  <c r="L57" i="34"/>
  <c r="L59" i="34"/>
  <c r="L61" i="34"/>
  <c r="L63" i="34"/>
  <c r="L65" i="34"/>
  <c r="L67" i="34"/>
  <c r="L69" i="34"/>
  <c r="L71" i="34"/>
  <c r="L52" i="34"/>
  <c r="L54" i="34"/>
  <c r="L56" i="34"/>
  <c r="L58" i="34"/>
  <c r="L60" i="34"/>
  <c r="L62" i="34"/>
  <c r="L64" i="34"/>
  <c r="L66" i="34"/>
  <c r="L68" i="34"/>
  <c r="L70" i="34"/>
  <c r="AK117" i="18"/>
  <c r="AG102" i="18"/>
  <c r="AE92" i="18"/>
  <c r="V112" i="18"/>
  <c r="X74" i="18"/>
  <c r="AA122" i="18"/>
  <c r="AJ122" i="18"/>
  <c r="AB122" i="18"/>
  <c r="AK122" i="18"/>
  <c r="W122" i="18"/>
  <c r="Y122" i="18"/>
  <c r="AF122" i="18"/>
  <c r="AC80" i="18"/>
  <c r="AE80" i="18"/>
  <c r="Y80" i="18"/>
  <c r="AK80" i="18"/>
  <c r="AH80" i="18"/>
  <c r="AI80" i="18"/>
  <c r="AD80" i="18"/>
  <c r="AD86" i="18"/>
  <c r="AG86" i="18"/>
  <c r="AI86" i="18"/>
  <c r="Z86" i="18"/>
  <c r="AK86" i="18"/>
  <c r="Q12" i="42" s="1"/>
  <c r="X86" i="18"/>
  <c r="V86" i="18"/>
  <c r="AA107" i="18"/>
  <c r="AK107" i="18"/>
  <c r="AI107" i="18"/>
  <c r="AC107" i="18"/>
  <c r="AE107" i="18"/>
  <c r="Y107" i="18"/>
  <c r="AF107" i="18"/>
  <c r="AB132" i="18"/>
  <c r="W132" i="18"/>
  <c r="Y132" i="18"/>
  <c r="AE132" i="18"/>
  <c r="AF132" i="18"/>
  <c r="AA132" i="18"/>
  <c r="AH132" i="18"/>
  <c r="AD127" i="18"/>
  <c r="AE127" i="18"/>
  <c r="AJ127" i="18"/>
  <c r="Z127" i="18"/>
  <c r="Y127" i="18"/>
  <c r="AH127" i="18"/>
  <c r="AC127" i="18"/>
  <c r="X102" i="18"/>
  <c r="Y117" i="18"/>
  <c r="AK92" i="18"/>
  <c r="AC97" i="18"/>
  <c r="AD112" i="18"/>
  <c r="AF102" i="18"/>
  <c r="Z102" i="18"/>
  <c r="AD117" i="18"/>
  <c r="Z117" i="18"/>
  <c r="AJ92" i="18"/>
  <c r="Y92" i="18"/>
  <c r="AG97" i="18"/>
  <c r="AD97" i="18"/>
  <c r="AK112" i="18"/>
  <c r="AJ112" i="18"/>
  <c r="AI102" i="18"/>
  <c r="AK102" i="18"/>
  <c r="Q15" i="42" s="1"/>
  <c r="V102" i="18"/>
  <c r="AA102" i="18"/>
  <c r="AB117" i="18"/>
  <c r="AE117" i="18"/>
  <c r="V117" i="18"/>
  <c r="AI117" i="18"/>
  <c r="AH92" i="18"/>
  <c r="AB92" i="18"/>
  <c r="W92" i="18"/>
  <c r="AF92" i="18"/>
  <c r="AI97" i="18"/>
  <c r="AB97" i="18"/>
  <c r="Y97" i="18"/>
  <c r="AE97" i="18"/>
  <c r="AF112" i="18"/>
  <c r="AB112" i="18"/>
  <c r="X112" i="18"/>
  <c r="Z112" i="18"/>
  <c r="AD74" i="18"/>
  <c r="AH102" i="18"/>
  <c r="AE102" i="18"/>
  <c r="AJ102" i="18"/>
  <c r="AD102" i="18"/>
  <c r="Y102" i="18"/>
  <c r="W102" i="18"/>
  <c r="AC102" i="18"/>
  <c r="AA117" i="18"/>
  <c r="AC117" i="18"/>
  <c r="W117" i="18"/>
  <c r="X117" i="18"/>
  <c r="AF117" i="18"/>
  <c r="AG117" i="18"/>
  <c r="AH117" i="18"/>
  <c r="AA92" i="18"/>
  <c r="AI92" i="18"/>
  <c r="AC92" i="18"/>
  <c r="V92" i="18"/>
  <c r="X92" i="18"/>
  <c r="AD92" i="18"/>
  <c r="AG92" i="18"/>
  <c r="AK97" i="18"/>
  <c r="AF97" i="18"/>
  <c r="AH97" i="18"/>
  <c r="W97" i="18"/>
  <c r="V97" i="18"/>
  <c r="AJ97" i="18"/>
  <c r="X97" i="18"/>
  <c r="AG112" i="18"/>
  <c r="AE112" i="18"/>
  <c r="AC112" i="18"/>
  <c r="AH112" i="18"/>
  <c r="Y112" i="18"/>
  <c r="W112" i="18"/>
  <c r="AI112" i="18"/>
  <c r="AH74" i="18"/>
  <c r="AK74" i="18"/>
  <c r="AG74" i="18"/>
  <c r="V74" i="18"/>
  <c r="Z74" i="18"/>
  <c r="AA74" i="18"/>
  <c r="M28" i="32"/>
  <c r="M37" i="32"/>
  <c r="D22" i="32"/>
  <c r="E22" i="32" s="1"/>
  <c r="D34" i="32"/>
  <c r="E34" i="32" s="1"/>
  <c r="D23" i="32"/>
  <c r="E23" i="32" s="1"/>
  <c r="D33" i="32"/>
  <c r="E33" i="32" s="1"/>
  <c r="D32" i="32"/>
  <c r="E32" i="32" s="1"/>
  <c r="D35" i="32"/>
  <c r="E35" i="32" s="1"/>
  <c r="D39" i="32"/>
  <c r="E39" i="32" s="1"/>
  <c r="M31" i="32"/>
  <c r="D27" i="32"/>
  <c r="E27" i="32" s="1"/>
  <c r="B2" i="31"/>
  <c r="E2" i="31" s="1"/>
  <c r="H3" i="31" s="1"/>
  <c r="K3" i="31" s="1"/>
  <c r="J11" i="31" s="1"/>
  <c r="H9" i="31" s="1"/>
  <c r="M25" i="32"/>
  <c r="D29" i="32"/>
  <c r="E29" i="32" s="1"/>
  <c r="M41" i="32"/>
  <c r="D36" i="32"/>
  <c r="E36" i="32" s="1"/>
  <c r="D38" i="32"/>
  <c r="E38" i="32" s="1"/>
  <c r="M21" i="32"/>
  <c r="M40" i="32"/>
  <c r="Y74" i="18"/>
  <c r="AB74" i="18"/>
  <c r="AJ74" i="18"/>
  <c r="AF74" i="18"/>
  <c r="AC74" i="18"/>
  <c r="AE74" i="18"/>
  <c r="AI74" i="18"/>
  <c r="AF32" i="47"/>
  <c r="AH32" i="47"/>
  <c r="AJ32" i="47"/>
  <c r="W32" i="47"/>
  <c r="Z32" i="47"/>
  <c r="AE32" i="47"/>
  <c r="AB32" i="47"/>
  <c r="AD32" i="47"/>
  <c r="AI32" i="47"/>
  <c r="X32" i="47"/>
  <c r="AC32" i="47"/>
  <c r="AA32" i="47"/>
  <c r="AG32" i="47"/>
  <c r="V32" i="47"/>
  <c r="AK32" i="47"/>
  <c r="AY36" i="47" s="1"/>
  <c r="Y32" i="47"/>
  <c r="I7" i="50"/>
  <c r="B10" i="2"/>
  <c r="K18" i="2"/>
  <c r="B34" i="2"/>
  <c r="T20" i="2"/>
  <c r="C10" i="2"/>
  <c r="M18" i="2"/>
  <c r="AB56" i="18"/>
  <c r="V56" i="18"/>
  <c r="AA56" i="18"/>
  <c r="AF56" i="18"/>
  <c r="AJ56" i="18"/>
  <c r="AE56" i="18"/>
  <c r="W56" i="18"/>
  <c r="AG56" i="18"/>
  <c r="Y56" i="18"/>
  <c r="Z56" i="18"/>
  <c r="AC56" i="18"/>
  <c r="AD56" i="18"/>
  <c r="X56" i="18"/>
  <c r="AH56" i="18"/>
  <c r="AI56" i="18"/>
  <c r="AK56" i="18"/>
  <c r="C116" i="59" s="1"/>
  <c r="C555" i="59" s="1"/>
  <c r="Z68" i="18"/>
  <c r="AJ68" i="18"/>
  <c r="AK68" i="18"/>
  <c r="C156" i="59" s="1"/>
  <c r="C595" i="59" s="1"/>
  <c r="X68" i="18"/>
  <c r="AD68" i="18"/>
  <c r="V68" i="18"/>
  <c r="AF68" i="18"/>
  <c r="AB68" i="18"/>
  <c r="AH68" i="18"/>
  <c r="Y68" i="18"/>
  <c r="W68" i="18"/>
  <c r="AI68" i="18"/>
  <c r="AG68" i="18"/>
  <c r="AE68" i="18"/>
  <c r="AC68" i="18"/>
  <c r="AA68" i="18"/>
  <c r="AE44" i="18"/>
  <c r="AF44" i="18"/>
  <c r="Z44" i="18"/>
  <c r="AI44" i="18"/>
  <c r="AG44" i="18"/>
  <c r="AH44" i="18"/>
  <c r="AA44" i="18"/>
  <c r="AB44" i="18"/>
  <c r="AC44" i="18"/>
  <c r="X44" i="18"/>
  <c r="AD44" i="18"/>
  <c r="V44" i="18"/>
  <c r="Y44" i="18"/>
  <c r="W44" i="18"/>
  <c r="AJ44" i="18"/>
  <c r="AK44" i="18"/>
  <c r="C76" i="59" s="1"/>
  <c r="C515" i="59" s="1"/>
  <c r="AI50" i="18"/>
  <c r="AJ50" i="18"/>
  <c r="AE50" i="18"/>
  <c r="Z50" i="18"/>
  <c r="AB50" i="18"/>
  <c r="Y50" i="18"/>
  <c r="AF50" i="18"/>
  <c r="AG50" i="18"/>
  <c r="X50" i="18"/>
  <c r="W50" i="18"/>
  <c r="AA50" i="18"/>
  <c r="V50" i="18"/>
  <c r="AC50" i="18"/>
  <c r="AH50" i="18"/>
  <c r="AD50" i="18"/>
  <c r="AK50" i="18"/>
  <c r="C96" i="59" s="1"/>
  <c r="C535" i="59" s="1"/>
  <c r="AG38" i="18"/>
  <c r="C52" i="59" s="1"/>
  <c r="C491" i="59" s="1"/>
  <c r="Z38" i="18"/>
  <c r="C45" i="59" s="1"/>
  <c r="C484" i="59" s="1"/>
  <c r="AE38" i="18"/>
  <c r="C50" i="59" s="1"/>
  <c r="C489" i="59" s="1"/>
  <c r="AA38" i="18"/>
  <c r="C46" i="59" s="1"/>
  <c r="C485" i="59" s="1"/>
  <c r="AB38" i="18"/>
  <c r="C47" i="59" s="1"/>
  <c r="C486" i="59" s="1"/>
  <c r="AH38" i="18"/>
  <c r="C53" i="59" s="1"/>
  <c r="C492" i="59" s="1"/>
  <c r="AF38" i="18"/>
  <c r="C51" i="59" s="1"/>
  <c r="C490" i="59" s="1"/>
  <c r="Y38" i="18"/>
  <c r="C44" i="59" s="1"/>
  <c r="C483" i="59" s="1"/>
  <c r="AJ38" i="18"/>
  <c r="C55" i="59" s="1"/>
  <c r="C494" i="59" s="1"/>
  <c r="AK38" i="18"/>
  <c r="C56" i="59" s="1"/>
  <c r="C495" i="59" s="1"/>
  <c r="X38" i="18"/>
  <c r="C43" i="59" s="1"/>
  <c r="C482" i="59" s="1"/>
  <c r="AI38" i="18"/>
  <c r="C54" i="59" s="1"/>
  <c r="C493" i="59" s="1"/>
  <c r="V38" i="18"/>
  <c r="C41" i="59" s="1"/>
  <c r="C480" i="59" s="1"/>
  <c r="W38" i="18"/>
  <c r="C42" i="59" s="1"/>
  <c r="C481" i="59" s="1"/>
  <c r="AC38" i="18"/>
  <c r="C48" i="59" s="1"/>
  <c r="C487" i="59" s="1"/>
  <c r="AD38" i="18"/>
  <c r="C49" i="59" s="1"/>
  <c r="C488" i="59" s="1"/>
  <c r="V21" i="2"/>
  <c r="C33" i="2"/>
  <c r="K58" i="2"/>
  <c r="G58" i="2"/>
  <c r="C31" i="46"/>
  <c r="A104" i="47" s="1"/>
  <c r="D31" i="46"/>
  <c r="BB42" i="47"/>
  <c r="AY42" i="47"/>
  <c r="W32" i="18"/>
  <c r="C22" i="59" s="1"/>
  <c r="C461" i="59" s="1"/>
  <c r="AA32" i="18"/>
  <c r="C26" i="59" s="1"/>
  <c r="C465" i="59" s="1"/>
  <c r="AC32" i="18"/>
  <c r="C28" i="59" s="1"/>
  <c r="C467" i="59" s="1"/>
  <c r="AG32" i="18"/>
  <c r="C32" i="59" s="1"/>
  <c r="C471" i="59" s="1"/>
  <c r="AJ32" i="18"/>
  <c r="C35" i="59" s="1"/>
  <c r="C474" i="59" s="1"/>
  <c r="Y32" i="18"/>
  <c r="C24" i="59" s="1"/>
  <c r="C463" i="59" s="1"/>
  <c r="AE32" i="18"/>
  <c r="C30" i="59" s="1"/>
  <c r="C469" i="59" s="1"/>
  <c r="AH32" i="18"/>
  <c r="C33" i="59" s="1"/>
  <c r="C472" i="59" s="1"/>
  <c r="AF32" i="18"/>
  <c r="C31" i="59" s="1"/>
  <c r="C470" i="59" s="1"/>
  <c r="AI32" i="18"/>
  <c r="C34" i="59" s="1"/>
  <c r="C473" i="59" s="1"/>
  <c r="V32" i="18"/>
  <c r="C21" i="59" s="1"/>
  <c r="C460" i="59" s="1"/>
  <c r="AB32" i="18"/>
  <c r="C27" i="59" s="1"/>
  <c r="C466" i="59" s="1"/>
  <c r="X32" i="18"/>
  <c r="C23" i="59" s="1"/>
  <c r="C462" i="59" s="1"/>
  <c r="Z32" i="18"/>
  <c r="C25" i="59" s="1"/>
  <c r="C464" i="59" s="1"/>
  <c r="AD32" i="18"/>
  <c r="C29" i="59" s="1"/>
  <c r="C468" i="59" s="1"/>
  <c r="AK32" i="18"/>
  <c r="C36" i="59" s="1"/>
  <c r="C475" i="59" s="1"/>
  <c r="AF62" i="18"/>
  <c r="AB62" i="18"/>
  <c r="AI62" i="18"/>
  <c r="Y62" i="18"/>
  <c r="AA62" i="18"/>
  <c r="W62" i="18"/>
  <c r="AD62" i="18"/>
  <c r="X62" i="18"/>
  <c r="AE62" i="18"/>
  <c r="V62" i="18"/>
  <c r="AG62" i="18"/>
  <c r="AH62" i="18"/>
  <c r="AJ62" i="18"/>
  <c r="AC62" i="18"/>
  <c r="Z62" i="18"/>
  <c r="AK62" i="18"/>
  <c r="C136" i="59" s="1"/>
  <c r="C575" i="59" s="1"/>
  <c r="V26" i="18"/>
  <c r="C1" i="59" s="1"/>
  <c r="C440" i="59" s="1"/>
  <c r="AF26" i="18"/>
  <c r="C11" i="59" s="1"/>
  <c r="C450" i="59" s="1"/>
  <c r="X26" i="18"/>
  <c r="C3" i="59" s="1"/>
  <c r="C442" i="59" s="1"/>
  <c r="AI26" i="18"/>
  <c r="C14" i="59" s="1"/>
  <c r="C453" i="59" s="1"/>
  <c r="AH26" i="18"/>
  <c r="C13" i="59" s="1"/>
  <c r="C452" i="59" s="1"/>
  <c r="AA26" i="18"/>
  <c r="C6" i="59" s="1"/>
  <c r="C445" i="59" s="1"/>
  <c r="AD26" i="18"/>
  <c r="C9" i="59" s="1"/>
  <c r="C448" i="59" s="1"/>
  <c r="AC26" i="18"/>
  <c r="C8" i="59" s="1"/>
  <c r="C447" i="59" s="1"/>
  <c r="Z26" i="18"/>
  <c r="C5" i="59" s="1"/>
  <c r="C444" i="59" s="1"/>
  <c r="AE26" i="18"/>
  <c r="C10" i="59" s="1"/>
  <c r="C449" i="59" s="1"/>
  <c r="AB26" i="18"/>
  <c r="C7" i="59" s="1"/>
  <c r="C446" i="59" s="1"/>
  <c r="W26" i="18"/>
  <c r="C2" i="59" s="1"/>
  <c r="C441" i="59" s="1"/>
  <c r="AG26" i="18"/>
  <c r="C12" i="59" s="1"/>
  <c r="C451" i="59" s="1"/>
  <c r="AJ26" i="18"/>
  <c r="C15" i="59" s="1"/>
  <c r="C454" i="59" s="1"/>
  <c r="Y26" i="18"/>
  <c r="C4" i="59" s="1"/>
  <c r="C443" i="59" s="1"/>
  <c r="AK26" i="18"/>
  <c r="C16" i="59" s="1"/>
  <c r="C455" i="59" s="1"/>
  <c r="U31" i="46"/>
  <c r="G50" i="2" l="1"/>
  <c r="G8" i="50" s="1"/>
  <c r="I17" i="50"/>
  <c r="H8" i="50"/>
  <c r="L8" i="50" s="1"/>
  <c r="C185" i="59"/>
  <c r="C624" i="59" s="1"/>
  <c r="C354" i="59"/>
  <c r="C793" i="59" s="1"/>
  <c r="I8" i="42"/>
  <c r="C128" i="59"/>
  <c r="C567" i="59" s="1"/>
  <c r="N8" i="42"/>
  <c r="C133" i="59"/>
  <c r="C572" i="59" s="1"/>
  <c r="B8" i="42"/>
  <c r="C121" i="59"/>
  <c r="C560" i="59" s="1"/>
  <c r="D8" i="42"/>
  <c r="C123" i="59"/>
  <c r="C562" i="59" s="1"/>
  <c r="C8" i="42"/>
  <c r="C122" i="59"/>
  <c r="C561" i="59" s="1"/>
  <c r="E8" i="42"/>
  <c r="C124" i="59"/>
  <c r="C563" i="59" s="1"/>
  <c r="H8" i="42"/>
  <c r="C127" i="59"/>
  <c r="C566" i="59" s="1"/>
  <c r="N6" i="42"/>
  <c r="C93" i="59"/>
  <c r="C532" i="59" s="1"/>
  <c r="B6" i="42"/>
  <c r="C81" i="59"/>
  <c r="C520" i="59" s="1"/>
  <c r="C6" i="42"/>
  <c r="C82" i="59"/>
  <c r="C521" i="59" s="1"/>
  <c r="M6" i="42"/>
  <c r="C92" i="59"/>
  <c r="C531" i="59" s="1"/>
  <c r="E6" i="42"/>
  <c r="C84" i="59"/>
  <c r="C523" i="59" s="1"/>
  <c r="F6" i="42"/>
  <c r="C85" i="59"/>
  <c r="C524" i="59" s="1"/>
  <c r="P6" i="42"/>
  <c r="C95" i="59"/>
  <c r="C534" i="59" s="1"/>
  <c r="C5" i="42"/>
  <c r="C62" i="59"/>
  <c r="C501" i="59" s="1"/>
  <c r="B5" i="42"/>
  <c r="C61" i="59"/>
  <c r="C500" i="59" s="1"/>
  <c r="D5" i="42"/>
  <c r="C63" i="59"/>
  <c r="C502" i="59" s="1"/>
  <c r="H5" i="42"/>
  <c r="C67" i="59"/>
  <c r="C506" i="59" s="1"/>
  <c r="N5" i="42"/>
  <c r="C73" i="59"/>
  <c r="C512" i="59" s="1"/>
  <c r="O5" i="42"/>
  <c r="C74" i="59"/>
  <c r="C513" i="59" s="1"/>
  <c r="L5" i="42"/>
  <c r="C71" i="59"/>
  <c r="C510" i="59" s="1"/>
  <c r="G9" i="42"/>
  <c r="C146" i="59"/>
  <c r="C585" i="59" s="1"/>
  <c r="K9" i="42"/>
  <c r="C150" i="59"/>
  <c r="C589" i="59" s="1"/>
  <c r="O9" i="42"/>
  <c r="C154" i="59"/>
  <c r="C593" i="59" s="1"/>
  <c r="E9" i="42"/>
  <c r="C144" i="59"/>
  <c r="C583" i="59" s="1"/>
  <c r="H9" i="42"/>
  <c r="C147" i="59"/>
  <c r="C586" i="59" s="1"/>
  <c r="B9" i="42"/>
  <c r="C141" i="59"/>
  <c r="C580" i="59" s="1"/>
  <c r="D9" i="42"/>
  <c r="C143" i="59"/>
  <c r="C582" i="59" s="1"/>
  <c r="P9" i="42"/>
  <c r="C155" i="59"/>
  <c r="C594" i="59" s="1"/>
  <c r="N7" i="42"/>
  <c r="C113" i="59"/>
  <c r="C552" i="59" s="1"/>
  <c r="J7" i="42"/>
  <c r="C109" i="59"/>
  <c r="C548" i="59" s="1"/>
  <c r="F7" i="42"/>
  <c r="C105" i="59"/>
  <c r="C544" i="59" s="1"/>
  <c r="M7" i="42"/>
  <c r="C112" i="59"/>
  <c r="C551" i="59" s="1"/>
  <c r="K7" i="42"/>
  <c r="C110" i="59"/>
  <c r="C549" i="59" s="1"/>
  <c r="L7" i="42"/>
  <c r="C111" i="59"/>
  <c r="C550" i="59" s="1"/>
  <c r="B7" i="42"/>
  <c r="C101" i="59"/>
  <c r="C540" i="59" s="1"/>
  <c r="K10" i="42"/>
  <c r="C170" i="59"/>
  <c r="C609" i="59" s="1"/>
  <c r="L10" i="42"/>
  <c r="C171" i="59"/>
  <c r="C610" i="59" s="1"/>
  <c r="H10" i="42"/>
  <c r="C167" i="59"/>
  <c r="C606" i="59" s="1"/>
  <c r="F10" i="42"/>
  <c r="C165" i="59"/>
  <c r="C604" i="59" s="1"/>
  <c r="M10" i="42"/>
  <c r="C172" i="59"/>
  <c r="C611" i="59" s="1"/>
  <c r="N10" i="42"/>
  <c r="C173" i="59"/>
  <c r="C612" i="59" s="1"/>
  <c r="C17" i="42"/>
  <c r="C302" i="59"/>
  <c r="C741" i="59" s="1"/>
  <c r="N17" i="42"/>
  <c r="C313" i="59"/>
  <c r="C752" i="59" s="1"/>
  <c r="K17" i="42"/>
  <c r="C310" i="59"/>
  <c r="C749" i="59" s="1"/>
  <c r="D14" i="42"/>
  <c r="C243" i="59"/>
  <c r="C682" i="59" s="1"/>
  <c r="B14" i="42"/>
  <c r="C241" i="59"/>
  <c r="C680" i="59" s="1"/>
  <c r="N14" i="42"/>
  <c r="C253" i="59"/>
  <c r="C692" i="59" s="1"/>
  <c r="Q14" i="42"/>
  <c r="C256" i="59"/>
  <c r="C695" i="59" s="1"/>
  <c r="J13" i="42"/>
  <c r="C229" i="59"/>
  <c r="C668" i="59" s="1"/>
  <c r="B13" i="42"/>
  <c r="C221" i="59"/>
  <c r="C660" i="59" s="1"/>
  <c r="O13" i="42"/>
  <c r="C234" i="59"/>
  <c r="C673" i="59" s="1"/>
  <c r="N18" i="42"/>
  <c r="C333" i="59"/>
  <c r="C772" i="59" s="1"/>
  <c r="L18" i="42"/>
  <c r="C331" i="59"/>
  <c r="C770" i="59" s="1"/>
  <c r="C18" i="42"/>
  <c r="C322" i="59"/>
  <c r="C761" i="59" s="1"/>
  <c r="G18" i="42"/>
  <c r="C326" i="59"/>
  <c r="C765" i="59" s="1"/>
  <c r="C15" i="42"/>
  <c r="C262" i="59"/>
  <c r="C701" i="59" s="1"/>
  <c r="J15" i="42"/>
  <c r="C269" i="59"/>
  <c r="C708" i="59" s="1"/>
  <c r="K15" i="42"/>
  <c r="C270" i="59"/>
  <c r="C709" i="59" s="1"/>
  <c r="J10" i="42"/>
  <c r="C169" i="59"/>
  <c r="C608" i="59" s="1"/>
  <c r="D17" i="42"/>
  <c r="C303" i="59"/>
  <c r="C742" i="59" s="1"/>
  <c r="L17" i="42"/>
  <c r="C311" i="59"/>
  <c r="C750" i="59" s="1"/>
  <c r="E14" i="42"/>
  <c r="C244" i="59"/>
  <c r="C683" i="59" s="1"/>
  <c r="O14" i="42"/>
  <c r="C254" i="59"/>
  <c r="C693" i="59" s="1"/>
  <c r="C13" i="42"/>
  <c r="C222" i="59"/>
  <c r="C661" i="59" s="1"/>
  <c r="N13" i="42"/>
  <c r="C233" i="59"/>
  <c r="C672" i="59" s="1"/>
  <c r="B18" i="42"/>
  <c r="C321" i="59"/>
  <c r="C760" i="59" s="1"/>
  <c r="H18" i="42"/>
  <c r="C327" i="59"/>
  <c r="C766" i="59" s="1"/>
  <c r="B15" i="42"/>
  <c r="C261" i="59"/>
  <c r="C700" i="59" s="1"/>
  <c r="O15" i="42"/>
  <c r="C274" i="59"/>
  <c r="C713" i="59" s="1"/>
  <c r="Q17" i="42"/>
  <c r="C316" i="59"/>
  <c r="C755" i="59" s="1"/>
  <c r="M14" i="42"/>
  <c r="C252" i="59"/>
  <c r="C691" i="59" s="1"/>
  <c r="P13" i="42"/>
  <c r="C235" i="59"/>
  <c r="C674" i="59" s="1"/>
  <c r="J18" i="42"/>
  <c r="C329" i="59"/>
  <c r="C768" i="59" s="1"/>
  <c r="L15" i="42"/>
  <c r="C271" i="59"/>
  <c r="C710" i="59" s="1"/>
  <c r="I14" i="42"/>
  <c r="C248" i="59"/>
  <c r="C687" i="59" s="1"/>
  <c r="E18" i="42"/>
  <c r="C324" i="59"/>
  <c r="C763" i="59" s="1"/>
  <c r="I20" i="42"/>
  <c r="C368" i="59"/>
  <c r="C807" i="59" s="1"/>
  <c r="E20" i="42"/>
  <c r="C364" i="59"/>
  <c r="C803" i="59" s="1"/>
  <c r="P20" i="42"/>
  <c r="C375" i="59"/>
  <c r="C814" i="59" s="1"/>
  <c r="J20" i="42"/>
  <c r="C369" i="59"/>
  <c r="C808" i="59" s="1"/>
  <c r="G21" i="42"/>
  <c r="C386" i="59"/>
  <c r="C825" i="59" s="1"/>
  <c r="K21" i="42"/>
  <c r="C390" i="59"/>
  <c r="C829" i="59" s="1"/>
  <c r="C21" i="42"/>
  <c r="C382" i="59"/>
  <c r="C821" i="59" s="1"/>
  <c r="L16" i="42"/>
  <c r="C291" i="59"/>
  <c r="C730" i="59" s="1"/>
  <c r="K16" i="42"/>
  <c r="C290" i="59"/>
  <c r="C729" i="59" s="1"/>
  <c r="O16" i="42"/>
  <c r="C294" i="59"/>
  <c r="C733" i="59" s="1"/>
  <c r="G16" i="42"/>
  <c r="C286" i="59"/>
  <c r="C725" i="59" s="1"/>
  <c r="D12" i="42"/>
  <c r="C203" i="59"/>
  <c r="C642" i="59" s="1"/>
  <c r="F12" i="42"/>
  <c r="C205" i="59"/>
  <c r="C644" i="59" s="1"/>
  <c r="M12" i="42"/>
  <c r="C212" i="59"/>
  <c r="C651" i="59" s="1"/>
  <c r="J11" i="42"/>
  <c r="C189" i="59"/>
  <c r="C628" i="59" s="1"/>
  <c r="N11" i="42"/>
  <c r="C193" i="59"/>
  <c r="C632" i="59" s="1"/>
  <c r="E11" i="42"/>
  <c r="C184" i="59"/>
  <c r="C623" i="59" s="1"/>
  <c r="I11" i="42"/>
  <c r="C188" i="59"/>
  <c r="C627" i="59" s="1"/>
  <c r="E19" i="42"/>
  <c r="C344" i="59"/>
  <c r="C783" i="59" s="1"/>
  <c r="AY126" i="18"/>
  <c r="C356" i="59"/>
  <c r="C795" i="59" s="1"/>
  <c r="P19" i="42"/>
  <c r="C355" i="59"/>
  <c r="C794" i="59" s="1"/>
  <c r="D10" i="42"/>
  <c r="C163" i="59"/>
  <c r="C602" i="59" s="1"/>
  <c r="K13" i="42"/>
  <c r="C230" i="59"/>
  <c r="C669" i="59" s="1"/>
  <c r="AY121" i="18"/>
  <c r="C336" i="59"/>
  <c r="C775" i="59" s="1"/>
  <c r="G20" i="42"/>
  <c r="C366" i="59"/>
  <c r="C805" i="59" s="1"/>
  <c r="AY131" i="18"/>
  <c r="C376" i="59"/>
  <c r="C815" i="59" s="1"/>
  <c r="O21" i="42"/>
  <c r="C394" i="59"/>
  <c r="C833" i="59" s="1"/>
  <c r="B21" i="42"/>
  <c r="C381" i="59"/>
  <c r="C820" i="59" s="1"/>
  <c r="M16" i="42"/>
  <c r="C292" i="59"/>
  <c r="C731" i="59" s="1"/>
  <c r="H16" i="42"/>
  <c r="C287" i="59"/>
  <c r="C726" i="59" s="1"/>
  <c r="H12" i="42"/>
  <c r="C207" i="59"/>
  <c r="C646" i="59" s="1"/>
  <c r="N12" i="42"/>
  <c r="C213" i="59"/>
  <c r="C652" i="59" s="1"/>
  <c r="B11" i="42"/>
  <c r="C181" i="59"/>
  <c r="C620" i="59" s="1"/>
  <c r="L11" i="42"/>
  <c r="C191" i="59"/>
  <c r="C630" i="59" s="1"/>
  <c r="F19" i="42"/>
  <c r="C345" i="59"/>
  <c r="C784" i="59" s="1"/>
  <c r="B19" i="42"/>
  <c r="C341" i="59"/>
  <c r="C780" i="59" s="1"/>
  <c r="B20" i="42"/>
  <c r="C361" i="59"/>
  <c r="C800" i="59" s="1"/>
  <c r="J21" i="42"/>
  <c r="C389" i="59"/>
  <c r="C828" i="59" s="1"/>
  <c r="C16" i="42"/>
  <c r="C282" i="59"/>
  <c r="C721" i="59" s="1"/>
  <c r="G12" i="42"/>
  <c r="C206" i="59"/>
  <c r="C645" i="59" s="1"/>
  <c r="G11" i="42"/>
  <c r="C186" i="59"/>
  <c r="C625" i="59" s="1"/>
  <c r="K19" i="42"/>
  <c r="C350" i="59"/>
  <c r="C789" i="59" s="1"/>
  <c r="D20" i="42"/>
  <c r="C363" i="59"/>
  <c r="C802" i="59" s="1"/>
  <c r="J16" i="42"/>
  <c r="C289" i="59"/>
  <c r="C728" i="59" s="1"/>
  <c r="C11" i="42"/>
  <c r="C182" i="59"/>
  <c r="C621" i="59" s="1"/>
  <c r="M20" i="42"/>
  <c r="C372" i="59"/>
  <c r="C811" i="59" s="1"/>
  <c r="I12" i="42"/>
  <c r="C208" i="59"/>
  <c r="C647" i="59" s="1"/>
  <c r="F8" i="42"/>
  <c r="C125" i="59"/>
  <c r="C564" i="59" s="1"/>
  <c r="P8" i="42"/>
  <c r="C135" i="59"/>
  <c r="C574" i="59" s="1"/>
  <c r="M8" i="42"/>
  <c r="C132" i="59"/>
  <c r="C571" i="59" s="1"/>
  <c r="K8" i="42"/>
  <c r="C130" i="59"/>
  <c r="C569" i="59" s="1"/>
  <c r="J8" i="42"/>
  <c r="C129" i="59"/>
  <c r="C568" i="59" s="1"/>
  <c r="G8" i="42"/>
  <c r="C126" i="59"/>
  <c r="C565" i="59" s="1"/>
  <c r="O8" i="42"/>
  <c r="C134" i="59"/>
  <c r="C573" i="59" s="1"/>
  <c r="L8" i="42"/>
  <c r="C131" i="59"/>
  <c r="C570" i="59" s="1"/>
  <c r="H48" i="2"/>
  <c r="J48" i="2" s="1"/>
  <c r="C433" i="59"/>
  <c r="J6" i="42"/>
  <c r="C89" i="59"/>
  <c r="C528" i="59" s="1"/>
  <c r="I6" i="42"/>
  <c r="C88" i="59"/>
  <c r="C527" i="59" s="1"/>
  <c r="G6" i="42"/>
  <c r="C86" i="59"/>
  <c r="C525" i="59" s="1"/>
  <c r="D6" i="42"/>
  <c r="C83" i="59"/>
  <c r="C522" i="59" s="1"/>
  <c r="L6" i="42"/>
  <c r="C91" i="59"/>
  <c r="C530" i="59" s="1"/>
  <c r="H6" i="42"/>
  <c r="C87" i="59"/>
  <c r="C526" i="59" s="1"/>
  <c r="K6" i="42"/>
  <c r="C90" i="59"/>
  <c r="C529" i="59" s="1"/>
  <c r="O6" i="42"/>
  <c r="C94" i="59"/>
  <c r="C533" i="59" s="1"/>
  <c r="P5" i="42"/>
  <c r="C75" i="59"/>
  <c r="C514" i="59" s="1"/>
  <c r="E5" i="42"/>
  <c r="C64" i="59"/>
  <c r="C503" i="59" s="1"/>
  <c r="J5" i="42"/>
  <c r="C69" i="59"/>
  <c r="C508" i="59" s="1"/>
  <c r="I5" i="42"/>
  <c r="C68" i="59"/>
  <c r="C507" i="59" s="1"/>
  <c r="G5" i="42"/>
  <c r="C66" i="59"/>
  <c r="C505" i="59" s="1"/>
  <c r="M5" i="42"/>
  <c r="C72" i="59"/>
  <c r="C511" i="59" s="1"/>
  <c r="F5" i="42"/>
  <c r="C65" i="59"/>
  <c r="C504" i="59" s="1"/>
  <c r="K5" i="42"/>
  <c r="C70" i="59"/>
  <c r="C509" i="59" s="1"/>
  <c r="I9" i="42"/>
  <c r="C148" i="59"/>
  <c r="C587" i="59" s="1"/>
  <c r="M9" i="42"/>
  <c r="C152" i="59"/>
  <c r="C591" i="59" s="1"/>
  <c r="C9" i="42"/>
  <c r="C142" i="59"/>
  <c r="C581" i="59" s="1"/>
  <c r="N9" i="42"/>
  <c r="C153" i="59"/>
  <c r="C592" i="59" s="1"/>
  <c r="L9" i="42"/>
  <c r="C151" i="59"/>
  <c r="C590" i="59" s="1"/>
  <c r="J9" i="42"/>
  <c r="C149" i="59"/>
  <c r="C588" i="59" s="1"/>
  <c r="F9" i="42"/>
  <c r="C145" i="59"/>
  <c r="C584" i="59" s="1"/>
  <c r="O7" i="42"/>
  <c r="C114" i="59"/>
  <c r="C553" i="59" s="1"/>
  <c r="D7" i="42"/>
  <c r="C103" i="59"/>
  <c r="C542" i="59" s="1"/>
  <c r="I7" i="42"/>
  <c r="C108" i="59"/>
  <c r="C547" i="59" s="1"/>
  <c r="E7" i="42"/>
  <c r="C104" i="59"/>
  <c r="C543" i="59" s="1"/>
  <c r="C7" i="42"/>
  <c r="C102" i="59"/>
  <c r="C541" i="59" s="1"/>
  <c r="P7" i="42"/>
  <c r="C115" i="59"/>
  <c r="C554" i="59" s="1"/>
  <c r="G7" i="42"/>
  <c r="C106" i="59"/>
  <c r="C545" i="59" s="1"/>
  <c r="H7" i="42"/>
  <c r="C107" i="59"/>
  <c r="C546" i="59" s="1"/>
  <c r="H60" i="2"/>
  <c r="I18" i="50" s="1"/>
  <c r="C410" i="59"/>
  <c r="F49" i="2"/>
  <c r="K49" i="2" s="1"/>
  <c r="B434" i="59"/>
  <c r="F59" i="2"/>
  <c r="H17" i="50" s="1"/>
  <c r="L17" i="50" s="1"/>
  <c r="B410" i="59"/>
  <c r="O10" i="42"/>
  <c r="C174" i="59"/>
  <c r="C613" i="59" s="1"/>
  <c r="I10" i="42"/>
  <c r="C168" i="59"/>
  <c r="C607" i="59" s="1"/>
  <c r="P10" i="42"/>
  <c r="C175" i="59"/>
  <c r="C614" i="59" s="1"/>
  <c r="E10" i="42"/>
  <c r="C164" i="59"/>
  <c r="C603" i="59" s="1"/>
  <c r="G10" i="42"/>
  <c r="C166" i="59"/>
  <c r="C605" i="59" s="1"/>
  <c r="B10" i="42"/>
  <c r="C161" i="59"/>
  <c r="C600" i="59" s="1"/>
  <c r="Q10" i="42"/>
  <c r="C176" i="59"/>
  <c r="C615" i="59" s="1"/>
  <c r="O17" i="42"/>
  <c r="C314" i="59"/>
  <c r="C753" i="59" s="1"/>
  <c r="E17" i="42"/>
  <c r="C304" i="59"/>
  <c r="C743" i="59" s="1"/>
  <c r="I17" i="42"/>
  <c r="C308" i="59"/>
  <c r="C747" i="59" s="1"/>
  <c r="M17" i="42"/>
  <c r="C312" i="59"/>
  <c r="C751" i="59" s="1"/>
  <c r="P14" i="42"/>
  <c r="C255" i="59"/>
  <c r="C694" i="59" s="1"/>
  <c r="C14" i="42"/>
  <c r="C242" i="59"/>
  <c r="C681" i="59" s="1"/>
  <c r="L14" i="42"/>
  <c r="C251" i="59"/>
  <c r="C690" i="59" s="1"/>
  <c r="M13" i="42"/>
  <c r="C232" i="59"/>
  <c r="C671" i="59" s="1"/>
  <c r="D13" i="42"/>
  <c r="C223" i="59"/>
  <c r="C662" i="59" s="1"/>
  <c r="I13" i="42"/>
  <c r="C228" i="59"/>
  <c r="C667" i="59" s="1"/>
  <c r="G13" i="42"/>
  <c r="C226" i="59"/>
  <c r="C665" i="59" s="1"/>
  <c r="M18" i="42"/>
  <c r="C332" i="59"/>
  <c r="C771" i="59" s="1"/>
  <c r="D18" i="42"/>
  <c r="C323" i="59"/>
  <c r="C762" i="59" s="1"/>
  <c r="I18" i="42"/>
  <c r="C328" i="59"/>
  <c r="C767" i="59" s="1"/>
  <c r="I15" i="42"/>
  <c r="C268" i="59"/>
  <c r="C707" i="59" s="1"/>
  <c r="E15" i="42"/>
  <c r="C264" i="59"/>
  <c r="C703" i="59" s="1"/>
  <c r="P15" i="42"/>
  <c r="C275" i="59"/>
  <c r="C714" i="59" s="1"/>
  <c r="N15" i="42"/>
  <c r="C273" i="59"/>
  <c r="C712" i="59" s="1"/>
  <c r="F17" i="42"/>
  <c r="C305" i="59"/>
  <c r="C744" i="59" s="1"/>
  <c r="H17" i="42"/>
  <c r="C307" i="59"/>
  <c r="C746" i="59" s="1"/>
  <c r="K14" i="42"/>
  <c r="C250" i="59"/>
  <c r="C689" i="59" s="1"/>
  <c r="H14" i="42"/>
  <c r="C247" i="59"/>
  <c r="C686" i="59" s="1"/>
  <c r="L13" i="42"/>
  <c r="C231" i="59"/>
  <c r="C670" i="59" s="1"/>
  <c r="H13" i="42"/>
  <c r="C227" i="59"/>
  <c r="C666" i="59" s="1"/>
  <c r="O18" i="42"/>
  <c r="C334" i="59"/>
  <c r="C773" i="59" s="1"/>
  <c r="K18" i="42"/>
  <c r="C330" i="59"/>
  <c r="C769" i="59" s="1"/>
  <c r="G15" i="42"/>
  <c r="C266" i="59"/>
  <c r="C705" i="59" s="1"/>
  <c r="AY106" i="18"/>
  <c r="C276" i="59"/>
  <c r="C715" i="59" s="1"/>
  <c r="P17" i="42"/>
  <c r="C315" i="59"/>
  <c r="C754" i="59" s="1"/>
  <c r="J14" i="42"/>
  <c r="C249" i="59"/>
  <c r="C688" i="59" s="1"/>
  <c r="E13" i="42"/>
  <c r="C224" i="59"/>
  <c r="C663" i="59" s="1"/>
  <c r="F18" i="42"/>
  <c r="C325" i="59"/>
  <c r="C764" i="59" s="1"/>
  <c r="F15" i="42"/>
  <c r="C265" i="59"/>
  <c r="C704" i="59" s="1"/>
  <c r="J17" i="42"/>
  <c r="C309" i="59"/>
  <c r="C748" i="59" s="1"/>
  <c r="Q13" i="42"/>
  <c r="C236" i="59"/>
  <c r="C675" i="59" s="1"/>
  <c r="D15" i="42"/>
  <c r="C263" i="59"/>
  <c r="C702" i="59" s="1"/>
  <c r="N20" i="42"/>
  <c r="C373" i="59"/>
  <c r="C812" i="59" s="1"/>
  <c r="F20" i="42"/>
  <c r="C365" i="59"/>
  <c r="C804" i="59" s="1"/>
  <c r="K20" i="42"/>
  <c r="C370" i="59"/>
  <c r="C809" i="59" s="1"/>
  <c r="N21" i="42"/>
  <c r="C393" i="59"/>
  <c r="C832" i="59" s="1"/>
  <c r="L21" i="42"/>
  <c r="C391" i="59"/>
  <c r="C830" i="59" s="1"/>
  <c r="E21" i="42"/>
  <c r="C384" i="59"/>
  <c r="C823" i="59" s="1"/>
  <c r="H21" i="42"/>
  <c r="C387" i="59"/>
  <c r="C826" i="59" s="1"/>
  <c r="E16" i="42"/>
  <c r="C284" i="59"/>
  <c r="C723" i="59" s="1"/>
  <c r="I16" i="42"/>
  <c r="C288" i="59"/>
  <c r="C727" i="59" s="1"/>
  <c r="AY111" i="18"/>
  <c r="C296" i="59"/>
  <c r="C735" i="59" s="1"/>
  <c r="B12" i="42"/>
  <c r="C201" i="59"/>
  <c r="C640" i="59" s="1"/>
  <c r="AY90" i="18"/>
  <c r="C216" i="59"/>
  <c r="C655" i="59" s="1"/>
  <c r="O12" i="42"/>
  <c r="C214" i="59"/>
  <c r="C653" i="59" s="1"/>
  <c r="J12" i="42"/>
  <c r="C209" i="59"/>
  <c r="C648" i="59" s="1"/>
  <c r="O11" i="42"/>
  <c r="C194" i="59"/>
  <c r="C633" i="59" s="1"/>
  <c r="AY84" i="18"/>
  <c r="C196" i="59"/>
  <c r="C635" i="59" s="1"/>
  <c r="K11" i="42"/>
  <c r="C190" i="59"/>
  <c r="C629" i="59" s="1"/>
  <c r="L19" i="42"/>
  <c r="C351" i="59"/>
  <c r="C790" i="59" s="1"/>
  <c r="C19" i="42"/>
  <c r="C342" i="59"/>
  <c r="C781" i="59" s="1"/>
  <c r="H19" i="42"/>
  <c r="C347" i="59"/>
  <c r="C786" i="59" s="1"/>
  <c r="G19" i="42"/>
  <c r="C346" i="59"/>
  <c r="C785" i="59" s="1"/>
  <c r="B17" i="42"/>
  <c r="C301" i="59"/>
  <c r="C740" i="59" s="1"/>
  <c r="M15" i="42"/>
  <c r="C272" i="59"/>
  <c r="C711" i="59" s="1"/>
  <c r="C20" i="42"/>
  <c r="C362" i="59"/>
  <c r="C801" i="59" s="1"/>
  <c r="O20" i="42"/>
  <c r="C374" i="59"/>
  <c r="C813" i="59" s="1"/>
  <c r="M21" i="42"/>
  <c r="C392" i="59"/>
  <c r="C831" i="59" s="1"/>
  <c r="Q21" i="42"/>
  <c r="C396" i="59"/>
  <c r="C835" i="59" s="1"/>
  <c r="D16" i="42"/>
  <c r="C283" i="59"/>
  <c r="C722" i="59" s="1"/>
  <c r="P16" i="42"/>
  <c r="C295" i="59"/>
  <c r="C734" i="59" s="1"/>
  <c r="E12" i="42"/>
  <c r="C204" i="59"/>
  <c r="C643" i="59" s="1"/>
  <c r="P12" i="42"/>
  <c r="C215" i="59"/>
  <c r="C654" i="59" s="1"/>
  <c r="H11" i="42"/>
  <c r="C187" i="59"/>
  <c r="C626" i="59" s="1"/>
  <c r="P11" i="42"/>
  <c r="C195" i="59"/>
  <c r="C634" i="59" s="1"/>
  <c r="J19" i="42"/>
  <c r="C349" i="59"/>
  <c r="C788" i="59" s="1"/>
  <c r="N19" i="42"/>
  <c r="C353" i="59"/>
  <c r="C792" i="59" s="1"/>
  <c r="L20" i="42"/>
  <c r="C371" i="59"/>
  <c r="C810" i="59" s="1"/>
  <c r="P21" i="42"/>
  <c r="C395" i="59"/>
  <c r="C834" i="59" s="1"/>
  <c r="N16" i="42"/>
  <c r="C293" i="59"/>
  <c r="C732" i="59" s="1"/>
  <c r="L12" i="42"/>
  <c r="C211" i="59"/>
  <c r="C650" i="59" s="1"/>
  <c r="D11" i="42"/>
  <c r="C183" i="59"/>
  <c r="C622" i="59" s="1"/>
  <c r="I19" i="42"/>
  <c r="C348" i="59"/>
  <c r="C787" i="59" s="1"/>
  <c r="D21" i="42"/>
  <c r="C383" i="59"/>
  <c r="C822" i="59" s="1"/>
  <c r="K12" i="42"/>
  <c r="C210" i="59"/>
  <c r="C649" i="59" s="1"/>
  <c r="D19" i="42"/>
  <c r="C343" i="59"/>
  <c r="C782" i="59" s="1"/>
  <c r="F21" i="42"/>
  <c r="C385" i="59"/>
  <c r="C824" i="59" s="1"/>
  <c r="G14" i="42"/>
  <c r="C246" i="59"/>
  <c r="C685" i="59" s="1"/>
  <c r="Q16" i="42"/>
  <c r="Q11" i="42"/>
  <c r="AY78" i="18"/>
  <c r="Q18" i="42"/>
  <c r="Q20" i="42"/>
  <c r="E43" i="32"/>
  <c r="D43" i="32"/>
  <c r="Q19" i="42"/>
  <c r="G16" i="50"/>
  <c r="AY96" i="18"/>
  <c r="AY116" i="18"/>
  <c r="AY101" i="18"/>
  <c r="H7" i="31"/>
  <c r="H6" i="31"/>
  <c r="H11" i="31"/>
  <c r="H8" i="31"/>
  <c r="H10" i="31"/>
  <c r="M2" i="42"/>
  <c r="F2" i="42"/>
  <c r="N2" i="42"/>
  <c r="B2" i="42"/>
  <c r="P2" i="42"/>
  <c r="C2" i="42"/>
  <c r="K2" i="42"/>
  <c r="I2" i="42"/>
  <c r="G2" i="42"/>
  <c r="O2" i="42"/>
  <c r="L2" i="42"/>
  <c r="F3" i="42"/>
  <c r="H3" i="42"/>
  <c r="O3" i="42"/>
  <c r="N3" i="42"/>
  <c r="E3" i="42"/>
  <c r="M3" i="42"/>
  <c r="G3" i="42"/>
  <c r="J4" i="42"/>
  <c r="C4" i="42"/>
  <c r="O4" i="42"/>
  <c r="E4" i="42"/>
  <c r="N4" i="42"/>
  <c r="G4" i="42"/>
  <c r="F4" i="42"/>
  <c r="E2" i="42"/>
  <c r="H2" i="42"/>
  <c r="J2" i="42"/>
  <c r="D2" i="42"/>
  <c r="J3" i="42"/>
  <c r="D3" i="42"/>
  <c r="B3" i="42"/>
  <c r="L3" i="42"/>
  <c r="K3" i="42"/>
  <c r="P3" i="42"/>
  <c r="I3" i="42"/>
  <c r="C3" i="42"/>
  <c r="I4" i="42"/>
  <c r="B4" i="42"/>
  <c r="D4" i="42"/>
  <c r="P4" i="42"/>
  <c r="L4" i="42"/>
  <c r="H4" i="42"/>
  <c r="K4" i="42"/>
  <c r="M4" i="42"/>
  <c r="AG26" i="47"/>
  <c r="AA26" i="47"/>
  <c r="AK26" i="47"/>
  <c r="AY30" i="47" s="1"/>
  <c r="Z26" i="47"/>
  <c r="X26" i="47"/>
  <c r="AI26" i="47"/>
  <c r="AJ26" i="47"/>
  <c r="Y26" i="47"/>
  <c r="AF26" i="47"/>
  <c r="AB26" i="47"/>
  <c r="W26" i="47"/>
  <c r="AE26" i="47"/>
  <c r="AC26" i="47"/>
  <c r="AD26" i="47"/>
  <c r="V26" i="47"/>
  <c r="AH26" i="47"/>
  <c r="AY30" i="18"/>
  <c r="Q2" i="42"/>
  <c r="I6" i="50"/>
  <c r="Q4" i="42"/>
  <c r="AY42" i="18"/>
  <c r="BB42" i="18"/>
  <c r="Q5" i="42"/>
  <c r="AY48" i="18"/>
  <c r="Q9" i="42"/>
  <c r="AY72" i="18"/>
  <c r="Q7" i="42"/>
  <c r="AY60" i="18"/>
  <c r="M19" i="2"/>
  <c r="C11" i="2"/>
  <c r="T21" i="2"/>
  <c r="B33" i="2"/>
  <c r="B11" i="2"/>
  <c r="K19" i="2"/>
  <c r="Q3" i="42"/>
  <c r="AY36" i="18"/>
  <c r="AY66" i="18"/>
  <c r="Q8" i="42"/>
  <c r="C32" i="2"/>
  <c r="V22" i="2"/>
  <c r="C31" i="2" s="1"/>
  <c r="AY54" i="18"/>
  <c r="Q6" i="42"/>
  <c r="J60" i="2"/>
  <c r="K59" i="2" l="1"/>
  <c r="G59" i="2"/>
  <c r="G17" i="50" s="1"/>
  <c r="H7" i="50"/>
  <c r="L7" i="50" s="1"/>
  <c r="G49" i="2"/>
  <c r="G7" i="50" s="1"/>
  <c r="H47" i="2"/>
  <c r="I5" i="50" s="1"/>
  <c r="C432" i="59"/>
  <c r="F60" i="2"/>
  <c r="H18" i="50" s="1"/>
  <c r="L18" i="50" s="1"/>
  <c r="B411" i="59"/>
  <c r="H46" i="2"/>
  <c r="J46" i="2" s="1"/>
  <c r="C431" i="59"/>
  <c r="F48" i="2"/>
  <c r="G48" i="2" s="1"/>
  <c r="G6" i="50" s="1"/>
  <c r="B433" i="59"/>
  <c r="H61" i="2"/>
  <c r="J61" i="2" s="1"/>
  <c r="C411" i="59"/>
  <c r="F28" i="31"/>
  <c r="F27" i="31"/>
  <c r="F36" i="31"/>
  <c r="B35" i="31"/>
  <c r="F31" i="31"/>
  <c r="B27" i="31"/>
  <c r="B37" i="31"/>
  <c r="B41" i="31"/>
  <c r="B32" i="31"/>
  <c r="F37" i="31"/>
  <c r="B38" i="31"/>
  <c r="F34" i="31"/>
  <c r="F23" i="31"/>
  <c r="B24" i="31"/>
  <c r="B29" i="31"/>
  <c r="F38" i="31"/>
  <c r="F25" i="31"/>
  <c r="F40" i="31"/>
  <c r="F30" i="31"/>
  <c r="F41" i="31"/>
  <c r="F29" i="31"/>
  <c r="B26" i="31"/>
  <c r="F21" i="31"/>
  <c r="B30" i="31"/>
  <c r="F32" i="31"/>
  <c r="B33" i="31"/>
  <c r="B39" i="31"/>
  <c r="F24" i="31"/>
  <c r="B36" i="31"/>
  <c r="F26" i="31"/>
  <c r="B25" i="31"/>
  <c r="B34" i="31"/>
  <c r="B28" i="31"/>
  <c r="B40" i="31"/>
  <c r="B23" i="31"/>
  <c r="F33" i="31"/>
  <c r="F39" i="31"/>
  <c r="B22" i="31"/>
  <c r="F35" i="31"/>
  <c r="B31" i="31"/>
  <c r="B21" i="31"/>
  <c r="F22" i="31"/>
  <c r="K20" i="2"/>
  <c r="B12" i="2"/>
  <c r="I4" i="50"/>
  <c r="B32" i="2"/>
  <c r="T22" i="2"/>
  <c r="B31" i="2" s="1"/>
  <c r="C12" i="2"/>
  <c r="M20" i="2"/>
  <c r="G60" i="2" l="1"/>
  <c r="K48" i="2"/>
  <c r="K60" i="2"/>
  <c r="I19" i="50"/>
  <c r="J47" i="2"/>
  <c r="H6" i="50"/>
  <c r="L6" i="50" s="1"/>
  <c r="H62" i="2"/>
  <c r="J62" i="2" s="1"/>
  <c r="C412" i="59"/>
  <c r="F47" i="2"/>
  <c r="H5" i="50" s="1"/>
  <c r="L5" i="50" s="1"/>
  <c r="B432" i="59"/>
  <c r="F46" i="2"/>
  <c r="G46" i="2" s="1"/>
  <c r="G4" i="50" s="1"/>
  <c r="B431" i="59"/>
  <c r="F61" i="2"/>
  <c r="H19" i="50" s="1"/>
  <c r="L19" i="50" s="1"/>
  <c r="B412" i="59"/>
  <c r="G18" i="50"/>
  <c r="D31" i="31"/>
  <c r="E31" i="31" s="1"/>
  <c r="D62" i="56"/>
  <c r="Y12" i="29" s="1"/>
  <c r="D22" i="31"/>
  <c r="E22" i="31" s="1"/>
  <c r="D53" i="56"/>
  <c r="Y3" i="29" s="1"/>
  <c r="D40" i="31"/>
  <c r="E40" i="31" s="1"/>
  <c r="D71" i="56"/>
  <c r="Y21" i="29" s="1"/>
  <c r="D34" i="31"/>
  <c r="E34" i="31" s="1"/>
  <c r="D65" i="56"/>
  <c r="Y15" i="29" s="1"/>
  <c r="D33" i="31"/>
  <c r="E33" i="31" s="1"/>
  <c r="D64" i="56"/>
  <c r="Y14" i="29" s="1"/>
  <c r="D30" i="31"/>
  <c r="E30" i="31" s="1"/>
  <c r="D61" i="56"/>
  <c r="Y11" i="29" s="1"/>
  <c r="D26" i="31"/>
  <c r="E26" i="31" s="1"/>
  <c r="D57" i="56"/>
  <c r="Y7" i="29" s="1"/>
  <c r="D24" i="31"/>
  <c r="E24" i="31" s="1"/>
  <c r="D55" i="56"/>
  <c r="Y5" i="29" s="1"/>
  <c r="D41" i="31"/>
  <c r="E41" i="31" s="1"/>
  <c r="D72" i="56"/>
  <c r="Y22" i="29" s="1"/>
  <c r="D27" i="31"/>
  <c r="E27" i="31" s="1"/>
  <c r="D58" i="56"/>
  <c r="Y8" i="29" s="1"/>
  <c r="D35" i="31"/>
  <c r="E35" i="31" s="1"/>
  <c r="D66" i="56"/>
  <c r="Y16" i="29" s="1"/>
  <c r="D21" i="31"/>
  <c r="E21" i="31" s="1"/>
  <c r="D52" i="56"/>
  <c r="Y2" i="29" s="1"/>
  <c r="D23" i="31"/>
  <c r="E23" i="31" s="1"/>
  <c r="D54" i="56"/>
  <c r="Y4" i="29" s="1"/>
  <c r="D28" i="31"/>
  <c r="E28" i="31" s="1"/>
  <c r="D59" i="56"/>
  <c r="Y9" i="29" s="1"/>
  <c r="D25" i="31"/>
  <c r="E25" i="31" s="1"/>
  <c r="D56" i="56"/>
  <c r="Y6" i="29" s="1"/>
  <c r="D36" i="31"/>
  <c r="E36" i="31" s="1"/>
  <c r="D67" i="56"/>
  <c r="Y17" i="29" s="1"/>
  <c r="D39" i="31"/>
  <c r="E39" i="31" s="1"/>
  <c r="D70" i="56"/>
  <c r="Y20" i="29" s="1"/>
  <c r="D29" i="31"/>
  <c r="E29" i="31" s="1"/>
  <c r="D60" i="56"/>
  <c r="Y10" i="29" s="1"/>
  <c r="D38" i="31"/>
  <c r="E38" i="31" s="1"/>
  <c r="D69" i="56"/>
  <c r="Y19" i="29" s="1"/>
  <c r="D32" i="31"/>
  <c r="E32" i="31" s="1"/>
  <c r="D63" i="56"/>
  <c r="Y13" i="29" s="1"/>
  <c r="D37" i="31"/>
  <c r="E37" i="31" s="1"/>
  <c r="D68" i="56"/>
  <c r="Y18" i="29" s="1"/>
  <c r="E43" i="31"/>
  <c r="K47" i="2"/>
  <c r="M21" i="2"/>
  <c r="C13" i="2"/>
  <c r="K46" i="2"/>
  <c r="K21" i="2"/>
  <c r="B13" i="2"/>
  <c r="G61" i="2" l="1"/>
  <c r="H4" i="50"/>
  <c r="L4" i="50" s="1"/>
  <c r="I20" i="50"/>
  <c r="G47" i="2"/>
  <c r="G5" i="50" s="1"/>
  <c r="K61" i="2"/>
  <c r="H63" i="2"/>
  <c r="I21" i="50" s="1"/>
  <c r="C413" i="59"/>
  <c r="F62" i="2"/>
  <c r="H20" i="50" s="1"/>
  <c r="L20" i="50" s="1"/>
  <c r="B413" i="59"/>
  <c r="D43" i="31"/>
  <c r="G19" i="50"/>
  <c r="K22" i="2"/>
  <c r="B15" i="2" s="1"/>
  <c r="B14" i="2"/>
  <c r="J63" i="2"/>
  <c r="M22" i="2"/>
  <c r="C15" i="2" s="1"/>
  <c r="C14" i="2"/>
  <c r="K62" i="2" l="1"/>
  <c r="G62" i="2"/>
  <c r="G20" i="50" s="1"/>
  <c r="H65" i="2"/>
  <c r="J65" i="2" s="1"/>
  <c r="C415" i="59"/>
  <c r="F63" i="2"/>
  <c r="G63" i="2" s="1"/>
  <c r="B414" i="59"/>
  <c r="H64" i="2"/>
  <c r="I22" i="50" s="1"/>
  <c r="C414" i="59"/>
  <c r="F64" i="2"/>
  <c r="K64" i="2" s="1"/>
  <c r="B415" i="59"/>
  <c r="I23" i="50"/>
  <c r="D17" i="50" s="1"/>
  <c r="H22" i="50" l="1"/>
  <c r="L22" i="50" s="1"/>
  <c r="J64" i="2"/>
  <c r="G64" i="2"/>
  <c r="K63" i="2"/>
  <c r="H21" i="50"/>
  <c r="L21" i="50" s="1"/>
  <c r="G21" i="50"/>
  <c r="J23" i="49"/>
  <c r="J32" i="49" s="1"/>
  <c r="M67" i="34"/>
  <c r="M71" i="34"/>
  <c r="M66" i="34"/>
  <c r="M61" i="34"/>
  <c r="M68" i="34"/>
  <c r="M72" i="34"/>
  <c r="M57" i="34"/>
  <c r="M52" i="34"/>
  <c r="M56" i="34"/>
  <c r="M62" i="34"/>
  <c r="M55" i="34"/>
  <c r="M69" i="34"/>
  <c r="M63" i="34"/>
  <c r="M58" i="34"/>
  <c r="M53" i="34"/>
  <c r="M64" i="34"/>
  <c r="M59" i="34"/>
  <c r="M70" i="34"/>
  <c r="M65" i="34"/>
  <c r="M60" i="34"/>
  <c r="M54" i="34"/>
  <c r="N55" i="34" l="1"/>
  <c r="N62" i="34"/>
  <c r="N54" i="34"/>
  <c r="N56" i="34"/>
  <c r="N60" i="34"/>
  <c r="N52" i="34"/>
  <c r="N65" i="34"/>
  <c r="N57" i="34"/>
  <c r="N70" i="34"/>
  <c r="N72" i="34"/>
  <c r="N59" i="34"/>
  <c r="N68" i="34"/>
  <c r="N64" i="34"/>
  <c r="N61" i="34"/>
  <c r="N53" i="34"/>
  <c r="N66" i="34"/>
  <c r="N58" i="34"/>
  <c r="N71" i="34"/>
  <c r="N63" i="34"/>
  <c r="N67" i="34"/>
  <c r="N69" i="34"/>
  <c r="G22" i="50"/>
  <c r="J28" i="49"/>
  <c r="L28" i="49" s="1"/>
  <c r="F35" i="51" s="1"/>
  <c r="L23" i="49"/>
  <c r="F29" i="51" s="1"/>
  <c r="D29" i="51"/>
  <c r="D39" i="51"/>
  <c r="L32" i="49"/>
  <c r="F39" i="51" s="1"/>
  <c r="AO132" i="18"/>
  <c r="AO32" i="47"/>
  <c r="AO97" i="47"/>
  <c r="AO92" i="18"/>
  <c r="AO74" i="47"/>
  <c r="AO127" i="18"/>
  <c r="J25" i="49"/>
  <c r="AO122" i="18"/>
  <c r="AO74" i="18"/>
  <c r="AO32" i="18"/>
  <c r="AO117" i="18"/>
  <c r="AO107" i="18"/>
  <c r="AO86" i="47"/>
  <c r="AO80" i="47"/>
  <c r="AO44" i="18"/>
  <c r="AO56" i="18"/>
  <c r="AO137" i="18"/>
  <c r="AO102" i="18"/>
  <c r="AO112" i="18"/>
  <c r="AO26" i="47"/>
  <c r="AO86" i="18"/>
  <c r="AO44" i="47"/>
  <c r="J24" i="49"/>
  <c r="AO38" i="47"/>
  <c r="AO80" i="18"/>
  <c r="AO26" i="18"/>
  <c r="AO62" i="18"/>
  <c r="AO68" i="47"/>
  <c r="AO68" i="18"/>
  <c r="AO56" i="47"/>
  <c r="AO92" i="47"/>
  <c r="AO62" i="47"/>
  <c r="AO38" i="18"/>
  <c r="AO50" i="18"/>
  <c r="AO97" i="18"/>
  <c r="AO50" i="47"/>
  <c r="J7" i="50"/>
  <c r="J21" i="50"/>
  <c r="J23" i="50"/>
  <c r="J17" i="50"/>
  <c r="J5" i="50"/>
  <c r="J19" i="50"/>
  <c r="J14" i="50"/>
  <c r="J11" i="50"/>
  <c r="J13" i="50"/>
  <c r="J3" i="50"/>
  <c r="J12" i="50"/>
  <c r="T40" i="46"/>
  <c r="T36" i="46"/>
  <c r="T34" i="46"/>
  <c r="T35" i="46"/>
  <c r="T41" i="46"/>
  <c r="T39" i="46"/>
  <c r="T33" i="46"/>
  <c r="T43" i="46"/>
  <c r="T38" i="46"/>
  <c r="T42" i="46"/>
  <c r="T37" i="46"/>
  <c r="T31" i="46"/>
  <c r="T32" i="46"/>
  <c r="D35" i="51" l="1"/>
  <c r="C300" i="59"/>
  <c r="C739" i="59" s="1"/>
  <c r="C260" i="59"/>
  <c r="C699" i="59" s="1"/>
  <c r="C140" i="59"/>
  <c r="C579" i="59" s="1"/>
  <c r="C120" i="59"/>
  <c r="C559" i="59" s="1"/>
  <c r="C380" i="59"/>
  <c r="C819" i="59" s="1"/>
  <c r="C100" i="59"/>
  <c r="C539" i="59" s="1"/>
  <c r="C360" i="59"/>
  <c r="C799" i="59" s="1"/>
  <c r="C320" i="59"/>
  <c r="C759" i="59" s="1"/>
  <c r="C400" i="59"/>
  <c r="C839" i="59" s="1"/>
  <c r="C180" i="59"/>
  <c r="C619" i="59" s="1"/>
  <c r="C20" i="59"/>
  <c r="C459" i="59" s="1"/>
  <c r="C160" i="59"/>
  <c r="C599" i="59" s="1"/>
  <c r="C280" i="59"/>
  <c r="C719" i="59" s="1"/>
  <c r="C40" i="59"/>
  <c r="C479" i="59" s="1"/>
  <c r="C240" i="59"/>
  <c r="C679" i="59" s="1"/>
  <c r="C340" i="59"/>
  <c r="C779" i="59" s="1"/>
  <c r="C200" i="59"/>
  <c r="C639" i="59" s="1"/>
  <c r="C220" i="59"/>
  <c r="C659" i="59" s="1"/>
  <c r="C405" i="59"/>
  <c r="C844" i="59" s="1"/>
  <c r="C60" i="59"/>
  <c r="C499" i="59" s="1"/>
  <c r="C80" i="59"/>
  <c r="C519" i="59" s="1"/>
  <c r="D30" i="51"/>
  <c r="L24" i="49"/>
  <c r="F30" i="51" s="1"/>
  <c r="AM97" i="47"/>
  <c r="AL97" i="47" s="1"/>
  <c r="AK95" i="47"/>
  <c r="L25" i="49"/>
  <c r="F31" i="51" s="1"/>
  <c r="D31" i="51"/>
  <c r="AK65" i="47"/>
  <c r="AK100" i="47"/>
  <c r="AX101" i="47" s="1"/>
  <c r="AM92" i="47"/>
  <c r="AL92" i="47" s="1"/>
  <c r="AM80" i="47"/>
  <c r="AL80" i="47" s="1"/>
  <c r="AY81" i="47" s="1"/>
  <c r="AM38" i="47"/>
  <c r="AL38" i="47" s="1"/>
  <c r="AY39" i="47" s="1"/>
  <c r="AK59" i="47"/>
  <c r="AM74" i="47"/>
  <c r="AL74" i="47" s="1"/>
  <c r="AY75" i="47" s="1"/>
  <c r="AK77" i="47"/>
  <c r="AK53" i="47"/>
  <c r="AM44" i="47"/>
  <c r="AL44" i="47" s="1"/>
  <c r="AY45" i="47" s="1"/>
  <c r="AM32" i="47"/>
  <c r="AL32" i="47" s="1"/>
  <c r="AY33" i="47" s="1"/>
  <c r="AK35" i="47"/>
  <c r="AM86" i="47"/>
  <c r="AL86" i="47" s="1"/>
  <c r="AY87" i="47" s="1"/>
  <c r="AK89" i="47"/>
  <c r="U22" i="42"/>
  <c r="AM137" i="18"/>
  <c r="AM132" i="18"/>
  <c r="U21" i="42"/>
  <c r="AM74" i="18"/>
  <c r="U10" i="42"/>
  <c r="U18" i="42"/>
  <c r="AM117" i="18"/>
  <c r="AM26" i="18"/>
  <c r="C18" i="59" s="1"/>
  <c r="C457" i="59" s="1"/>
  <c r="U2" i="42"/>
  <c r="AM62" i="18"/>
  <c r="C138" i="59" s="1"/>
  <c r="C577" i="59" s="1"/>
  <c r="U8" i="42"/>
  <c r="U13" i="42"/>
  <c r="AM92" i="18"/>
  <c r="U4" i="42"/>
  <c r="AM38" i="18"/>
  <c r="C58" i="59" s="1"/>
  <c r="C497" i="59" s="1"/>
  <c r="U19" i="42"/>
  <c r="AM122" i="18"/>
  <c r="C358" i="59" s="1"/>
  <c r="C797" i="59" s="1"/>
  <c r="AM62" i="47"/>
  <c r="AL62" i="47" s="1"/>
  <c r="AK83" i="47"/>
  <c r="AK41" i="47"/>
  <c r="AM56" i="47"/>
  <c r="AL56" i="47" s="1"/>
  <c r="AY57" i="47" s="1"/>
  <c r="AM50" i="47"/>
  <c r="AL50" i="47" s="1"/>
  <c r="AK71" i="47"/>
  <c r="AM68" i="47"/>
  <c r="AL68" i="47" s="1"/>
  <c r="AY69" i="47" s="1"/>
  <c r="AK47" i="47"/>
  <c r="U12" i="42"/>
  <c r="AM86" i="18"/>
  <c r="AM107" i="18"/>
  <c r="U16" i="42"/>
  <c r="AM26" i="47"/>
  <c r="AL26" i="47" s="1"/>
  <c r="AY27" i="47" s="1"/>
  <c r="AK29" i="47"/>
  <c r="AM80" i="18"/>
  <c r="C198" i="59" s="1"/>
  <c r="C637" i="59" s="1"/>
  <c r="U11" i="42"/>
  <c r="AM102" i="18"/>
  <c r="U15" i="42"/>
  <c r="U7" i="42"/>
  <c r="AM56" i="18"/>
  <c r="U17" i="42"/>
  <c r="AM112" i="18"/>
  <c r="AM32" i="18"/>
  <c r="C38" i="59" s="1"/>
  <c r="C477" i="59" s="1"/>
  <c r="U3" i="42"/>
  <c r="AM97" i="18"/>
  <c r="U14" i="42"/>
  <c r="AM50" i="18"/>
  <c r="C98" i="59" s="1"/>
  <c r="C537" i="59" s="1"/>
  <c r="U6" i="42"/>
  <c r="AM44" i="18"/>
  <c r="U5" i="42"/>
  <c r="B11" i="49"/>
  <c r="C11" i="49" s="1"/>
  <c r="U20" i="42"/>
  <c r="AM127" i="18"/>
  <c r="AM68" i="18"/>
  <c r="C158" i="59" s="1"/>
  <c r="C597" i="59" s="1"/>
  <c r="U9" i="42"/>
  <c r="K19" i="50"/>
  <c r="K12" i="50"/>
  <c r="K3" i="50"/>
  <c r="K21" i="50"/>
  <c r="K23" i="50"/>
  <c r="K5" i="50"/>
  <c r="K14" i="50"/>
  <c r="K13" i="50"/>
  <c r="K11" i="50"/>
  <c r="K17" i="50"/>
  <c r="K7" i="50"/>
  <c r="J8" i="50"/>
  <c r="J4" i="50"/>
  <c r="J15" i="50"/>
  <c r="J16" i="50"/>
  <c r="J6" i="50"/>
  <c r="J10" i="50"/>
  <c r="J20" i="50"/>
  <c r="J9" i="50"/>
  <c r="J18" i="50"/>
  <c r="J22" i="50"/>
  <c r="E38" i="46"/>
  <c r="E34" i="46"/>
  <c r="E39" i="46"/>
  <c r="E42" i="46"/>
  <c r="E32" i="46"/>
  <c r="E43" i="46"/>
  <c r="E31" i="46"/>
  <c r="E35" i="46"/>
  <c r="E41" i="46"/>
  <c r="E37" i="46"/>
  <c r="E36" i="46"/>
  <c r="E40" i="46"/>
  <c r="E33" i="46"/>
  <c r="AN127" i="18" l="1"/>
  <c r="C378" i="59"/>
  <c r="C817" i="59" s="1"/>
  <c r="AN44" i="18"/>
  <c r="C78" i="59"/>
  <c r="C517" i="59" s="1"/>
  <c r="AN97" i="18"/>
  <c r="C258" i="59"/>
  <c r="C697" i="59" s="1"/>
  <c r="AN102" i="18"/>
  <c r="C278" i="59"/>
  <c r="C717" i="59" s="1"/>
  <c r="AN107" i="18"/>
  <c r="C298" i="59"/>
  <c r="C737" i="59" s="1"/>
  <c r="AN74" i="18"/>
  <c r="C178" i="59"/>
  <c r="C617" i="59" s="1"/>
  <c r="AN132" i="18"/>
  <c r="C398" i="59"/>
  <c r="C837" i="59" s="1"/>
  <c r="AN112" i="18"/>
  <c r="C318" i="59"/>
  <c r="C757" i="59" s="1"/>
  <c r="AN56" i="18"/>
  <c r="C118" i="59"/>
  <c r="C557" i="59" s="1"/>
  <c r="AN86" i="18"/>
  <c r="C218" i="59"/>
  <c r="C657" i="59" s="1"/>
  <c r="AN92" i="18"/>
  <c r="C238" i="59"/>
  <c r="C677" i="59" s="1"/>
  <c r="AN117" i="18"/>
  <c r="C338" i="59"/>
  <c r="C777" i="59" s="1"/>
  <c r="AN137" i="18"/>
  <c r="C403" i="59"/>
  <c r="C842" i="59" s="1"/>
  <c r="AN26" i="18"/>
  <c r="C19" i="59" s="1"/>
  <c r="C458" i="59" s="1"/>
  <c r="AN32" i="18"/>
  <c r="C39" i="59" s="1"/>
  <c r="C478" i="59" s="1"/>
  <c r="AN38" i="18"/>
  <c r="C59" i="59" s="1"/>
  <c r="C498" i="59" s="1"/>
  <c r="AN62" i="18"/>
  <c r="AN32" i="47"/>
  <c r="AN44" i="47"/>
  <c r="AN74" i="47"/>
  <c r="AN80" i="18"/>
  <c r="AN68" i="18"/>
  <c r="AN50" i="18"/>
  <c r="AN50" i="47"/>
  <c r="AN56" i="47"/>
  <c r="AN68" i="47"/>
  <c r="M33" i="46"/>
  <c r="I33" i="46"/>
  <c r="M41" i="46"/>
  <c r="I41" i="46"/>
  <c r="M32" i="46"/>
  <c r="I32" i="46"/>
  <c r="I43" i="46"/>
  <c r="M43" i="46"/>
  <c r="M37" i="46"/>
  <c r="I37" i="46"/>
  <c r="M31" i="46"/>
  <c r="I31" i="46"/>
  <c r="M34" i="46"/>
  <c r="I34" i="46"/>
  <c r="I38" i="46"/>
  <c r="M38" i="46"/>
  <c r="I40" i="46"/>
  <c r="M40" i="46"/>
  <c r="M35" i="46"/>
  <c r="I35" i="46"/>
  <c r="I39" i="46"/>
  <c r="M39" i="46"/>
  <c r="M36" i="46"/>
  <c r="I36" i="46"/>
  <c r="M42" i="46"/>
  <c r="I42" i="46"/>
  <c r="S14" i="42"/>
  <c r="AL97" i="18"/>
  <c r="C257" i="59" s="1"/>
  <c r="C696" i="59" s="1"/>
  <c r="S3" i="42"/>
  <c r="AL32" i="18"/>
  <c r="C37" i="59" s="1"/>
  <c r="C476" i="59" s="1"/>
  <c r="AL56" i="18"/>
  <c r="C117" i="59" s="1"/>
  <c r="C556" i="59" s="1"/>
  <c r="S7" i="42"/>
  <c r="AL102" i="18"/>
  <c r="C277" i="59" s="1"/>
  <c r="C716" i="59" s="1"/>
  <c r="S15" i="42"/>
  <c r="AX30" i="47"/>
  <c r="AK30" i="47"/>
  <c r="AN26" i="47"/>
  <c r="S16" i="42"/>
  <c r="AL107" i="18"/>
  <c r="C297" i="59" s="1"/>
  <c r="C736" i="59" s="1"/>
  <c r="S12" i="42"/>
  <c r="AL86" i="18"/>
  <c r="C217" i="59" s="1"/>
  <c r="C656" i="59" s="1"/>
  <c r="AK48" i="47"/>
  <c r="AX48" i="47"/>
  <c r="AX72" i="47"/>
  <c r="AK72" i="47"/>
  <c r="AY51" i="47"/>
  <c r="AX84" i="47"/>
  <c r="AK84" i="47"/>
  <c r="AN62" i="47"/>
  <c r="AN122" i="18"/>
  <c r="S19" i="42"/>
  <c r="AL122" i="18"/>
  <c r="C357" i="59" s="1"/>
  <c r="C796" i="59" s="1"/>
  <c r="S4" i="42"/>
  <c r="AL38" i="18"/>
  <c r="C57" i="59" s="1"/>
  <c r="C496" i="59" s="1"/>
  <c r="S13" i="42"/>
  <c r="AL92" i="18"/>
  <c r="C237" i="59" s="1"/>
  <c r="C676" i="59" s="1"/>
  <c r="S8" i="42"/>
  <c r="AL62" i="18"/>
  <c r="C137" i="59" s="1"/>
  <c r="C576" i="59" s="1"/>
  <c r="S2" i="42"/>
  <c r="AL26" i="18"/>
  <c r="S18" i="42"/>
  <c r="AL117" i="18"/>
  <c r="C337" i="59" s="1"/>
  <c r="C776" i="59" s="1"/>
  <c r="AL74" i="18"/>
  <c r="C177" i="59" s="1"/>
  <c r="C616" i="59" s="1"/>
  <c r="S10" i="42"/>
  <c r="S21" i="42"/>
  <c r="AL132" i="18"/>
  <c r="C397" i="59" s="1"/>
  <c r="C836" i="59" s="1"/>
  <c r="AN86" i="47"/>
  <c r="AK54" i="47"/>
  <c r="AX54" i="47"/>
  <c r="AK78" i="47"/>
  <c r="AX78" i="47"/>
  <c r="AX60" i="47"/>
  <c r="AK60" i="47"/>
  <c r="AN38" i="47"/>
  <c r="AN80" i="47"/>
  <c r="AN92" i="47"/>
  <c r="AX96" i="47"/>
  <c r="AN97" i="47"/>
  <c r="S9" i="42"/>
  <c r="AL68" i="18"/>
  <c r="C157" i="59" s="1"/>
  <c r="C596" i="59" s="1"/>
  <c r="AL127" i="18"/>
  <c r="C377" i="59" s="1"/>
  <c r="C816" i="59" s="1"/>
  <c r="S20" i="42"/>
  <c r="AL44" i="18"/>
  <c r="C77" i="59" s="1"/>
  <c r="C516" i="59" s="1"/>
  <c r="S5" i="42"/>
  <c r="AL50" i="18"/>
  <c r="C97" i="59" s="1"/>
  <c r="C536" i="59" s="1"/>
  <c r="S6" i="42"/>
  <c r="S17" i="42"/>
  <c r="AL112" i="18"/>
  <c r="C317" i="59" s="1"/>
  <c r="C756" i="59" s="1"/>
  <c r="S11" i="42"/>
  <c r="AL80" i="18"/>
  <c r="C197" i="59" s="1"/>
  <c r="C636" i="59" s="1"/>
  <c r="AK42" i="47"/>
  <c r="AX42" i="47"/>
  <c r="BA42" i="47"/>
  <c r="AY63" i="47"/>
  <c r="S22" i="42"/>
  <c r="AL137" i="18"/>
  <c r="AK90" i="47"/>
  <c r="AX90" i="47"/>
  <c r="AK36" i="47"/>
  <c r="AX36" i="47"/>
  <c r="AY93" i="47"/>
  <c r="AK66" i="47"/>
  <c r="AX66" i="47"/>
  <c r="AY98" i="47"/>
  <c r="K20" i="50"/>
  <c r="K18" i="50"/>
  <c r="K6" i="50"/>
  <c r="K15" i="50"/>
  <c r="K22" i="50"/>
  <c r="K16" i="50"/>
  <c r="K4" i="50"/>
  <c r="K8" i="50"/>
  <c r="K9" i="50"/>
  <c r="K10" i="50"/>
  <c r="C402" i="59" l="1"/>
  <c r="C841" i="59" s="1"/>
  <c r="T2" i="42"/>
  <c r="C17" i="59"/>
  <c r="C456" i="59" s="1"/>
  <c r="T6" i="42"/>
  <c r="C99" i="59"/>
  <c r="C538" i="59" s="1"/>
  <c r="T11" i="42"/>
  <c r="C199" i="59"/>
  <c r="C638" i="59" s="1"/>
  <c r="T8" i="42"/>
  <c r="C139" i="59"/>
  <c r="C578" i="59" s="1"/>
  <c r="T19" i="42"/>
  <c r="C359" i="59"/>
  <c r="C798" i="59" s="1"/>
  <c r="T9" i="42"/>
  <c r="C159" i="59"/>
  <c r="C598" i="59" s="1"/>
  <c r="T3" i="42"/>
  <c r="T22" i="42"/>
  <c r="C404" i="59"/>
  <c r="C843" i="59" s="1"/>
  <c r="T18" i="42"/>
  <c r="C339" i="59"/>
  <c r="C778" i="59" s="1"/>
  <c r="T13" i="42"/>
  <c r="C239" i="59"/>
  <c r="C678" i="59" s="1"/>
  <c r="T12" i="42"/>
  <c r="C219" i="59"/>
  <c r="C658" i="59" s="1"/>
  <c r="T7" i="42"/>
  <c r="C119" i="59"/>
  <c r="C558" i="59" s="1"/>
  <c r="T17" i="42"/>
  <c r="C319" i="59"/>
  <c r="C758" i="59" s="1"/>
  <c r="T21" i="42"/>
  <c r="C399" i="59"/>
  <c r="C838" i="59" s="1"/>
  <c r="T10" i="42"/>
  <c r="C179" i="59"/>
  <c r="C618" i="59" s="1"/>
  <c r="T16" i="42"/>
  <c r="C299" i="59"/>
  <c r="C738" i="59" s="1"/>
  <c r="T15" i="42"/>
  <c r="C279" i="59"/>
  <c r="C718" i="59" s="1"/>
  <c r="T14" i="42"/>
  <c r="C259" i="59"/>
  <c r="C698" i="59" s="1"/>
  <c r="T5" i="42"/>
  <c r="C79" i="59"/>
  <c r="C518" i="59" s="1"/>
  <c r="T20" i="42"/>
  <c r="C379" i="59"/>
  <c r="C818" i="59" s="1"/>
  <c r="T4" i="42"/>
  <c r="AY113" i="18"/>
  <c r="R17" i="42"/>
  <c r="R22" i="42"/>
  <c r="AY138" i="18"/>
  <c r="AY51" i="18"/>
  <c r="R6" i="42"/>
  <c r="AY45" i="18"/>
  <c r="R5" i="42"/>
  <c r="R20" i="42"/>
  <c r="AY128" i="18"/>
  <c r="AY133" i="18"/>
  <c r="R21" i="42"/>
  <c r="R13" i="42"/>
  <c r="AY93" i="18"/>
  <c r="AY39" i="18"/>
  <c r="R4" i="42"/>
  <c r="R19" i="42"/>
  <c r="AY123" i="18"/>
  <c r="R16" i="42"/>
  <c r="AY108" i="18"/>
  <c r="R11" i="42"/>
  <c r="AY81" i="18"/>
  <c r="R9" i="42"/>
  <c r="AY69" i="18"/>
  <c r="AY75" i="18"/>
  <c r="R10" i="42"/>
  <c r="R18" i="42"/>
  <c r="AY118" i="18"/>
  <c r="R2" i="42"/>
  <c r="AY27" i="18"/>
  <c r="AY63" i="18"/>
  <c r="R8" i="42"/>
  <c r="R12" i="42"/>
  <c r="AY87" i="18"/>
  <c r="R15" i="42"/>
  <c r="AY103" i="18"/>
  <c r="AY57" i="18"/>
  <c r="R7" i="42"/>
  <c r="AY33" i="18"/>
  <c r="R3" i="42"/>
  <c r="R14" i="42"/>
  <c r="AY98" i="18"/>
  <c r="G5" i="54" l="1"/>
  <c r="J6" i="54" l="1"/>
  <c r="M6" i="54" s="1"/>
  <c r="J14" i="54" s="1"/>
  <c r="H14" i="54" l="1"/>
  <c r="H12" i="54"/>
  <c r="H15" i="54"/>
  <c r="H16" i="54"/>
  <c r="H13" i="54"/>
  <c r="H11" i="54"/>
  <c r="B26" i="54" l="1"/>
  <c r="B46" i="54"/>
  <c r="F44" i="54"/>
  <c r="F37" i="54"/>
  <c r="F28" i="54"/>
  <c r="F31" i="54"/>
  <c r="F36" i="54"/>
  <c r="F39" i="54"/>
  <c r="F41" i="54"/>
  <c r="F30" i="54"/>
  <c r="F33" i="54"/>
  <c r="F45" i="54"/>
  <c r="B45" i="54"/>
  <c r="E71" i="56" s="1"/>
  <c r="Z21" i="29" s="1"/>
  <c r="B31" i="54"/>
  <c r="E57" i="56" s="1"/>
  <c r="Z7" i="29" s="1"/>
  <c r="B39" i="54"/>
  <c r="E65" i="56" s="1"/>
  <c r="Z15" i="29" s="1"/>
  <c r="B30" i="54"/>
  <c r="E56" i="56" s="1"/>
  <c r="Z6" i="29" s="1"/>
  <c r="B42" i="54"/>
  <c r="E68" i="56" s="1"/>
  <c r="Z18" i="29" s="1"/>
  <c r="B40" i="54"/>
  <c r="E66" i="56" s="1"/>
  <c r="Z16" i="29" s="1"/>
  <c r="B29" i="54"/>
  <c r="E55" i="56" s="1"/>
  <c r="Z5" i="29" s="1"/>
  <c r="B44" i="54"/>
  <c r="E70" i="56" s="1"/>
  <c r="Z20" i="29" s="1"/>
  <c r="B41" i="54"/>
  <c r="E67" i="56" s="1"/>
  <c r="Z17" i="29" s="1"/>
  <c r="B27" i="54"/>
  <c r="E53" i="56" s="1"/>
  <c r="Z3" i="29" s="1"/>
  <c r="B43" i="54"/>
  <c r="E69" i="56" s="1"/>
  <c r="Z19" i="29" s="1"/>
  <c r="B36" i="54"/>
  <c r="E62" i="56" s="1"/>
  <c r="Z12" i="29" s="1"/>
  <c r="F46" i="54"/>
  <c r="F42" i="54"/>
  <c r="F34" i="54"/>
  <c r="F40" i="54"/>
  <c r="F38" i="54"/>
  <c r="F32" i="54"/>
  <c r="F35" i="54"/>
  <c r="F26" i="54"/>
  <c r="F43" i="54"/>
  <c r="F29" i="54"/>
  <c r="F27" i="54"/>
  <c r="B28" i="54"/>
  <c r="E54" i="56" s="1"/>
  <c r="Z4" i="29" s="1"/>
  <c r="B32" i="54"/>
  <c r="E58" i="56" s="1"/>
  <c r="Z8" i="29" s="1"/>
  <c r="B35" i="54"/>
  <c r="E61" i="56" s="1"/>
  <c r="Z11" i="29" s="1"/>
  <c r="B34" i="54"/>
  <c r="E60" i="56" s="1"/>
  <c r="Z10" i="29" s="1"/>
  <c r="B38" i="54"/>
  <c r="E64" i="56" s="1"/>
  <c r="Z14" i="29" s="1"/>
  <c r="B33" i="54"/>
  <c r="E59" i="56" s="1"/>
  <c r="Z9" i="29" s="1"/>
  <c r="B37" i="54"/>
  <c r="E63" i="56" s="1"/>
  <c r="Z13" i="29" s="1"/>
  <c r="E52" i="56"/>
  <c r="Z2" i="29" s="1"/>
  <c r="E72" i="56"/>
  <c r="Z22" i="29" s="1"/>
  <c r="D46" i="54" l="1"/>
  <c r="D37" i="54"/>
  <c r="D38" i="54"/>
  <c r="D35" i="54"/>
  <c r="D28" i="54"/>
  <c r="D36" i="54"/>
  <c r="D27" i="54"/>
  <c r="D44" i="54"/>
  <c r="D40" i="54"/>
  <c r="D30" i="54"/>
  <c r="D31" i="54"/>
  <c r="D26" i="54"/>
  <c r="D33" i="54"/>
  <c r="D34" i="54"/>
  <c r="D32" i="54"/>
  <c r="D43" i="54"/>
  <c r="D41" i="54"/>
  <c r="D29" i="54"/>
  <c r="D42" i="54"/>
  <c r="D39" i="54"/>
  <c r="D45" i="54"/>
  <c r="G5" i="53" l="1"/>
  <c r="J6" i="53"/>
  <c r="M6" i="53" s="1"/>
  <c r="J21" i="53" s="1"/>
  <c r="H23" i="53" l="1"/>
  <c r="H22" i="53"/>
  <c r="H21" i="53"/>
  <c r="H20" i="53"/>
  <c r="H19" i="53"/>
  <c r="H18" i="53"/>
  <c r="F52" i="53" l="1"/>
  <c r="F43" i="53"/>
  <c r="F48" i="53"/>
  <c r="F37" i="53"/>
  <c r="F46" i="53"/>
  <c r="F33" i="53"/>
  <c r="F35" i="53"/>
  <c r="F36" i="53"/>
  <c r="F50" i="53"/>
  <c r="F34" i="53"/>
  <c r="B50" i="53"/>
  <c r="B40" i="53"/>
  <c r="B33" i="53"/>
  <c r="B52" i="53"/>
  <c r="B45" i="53"/>
  <c r="B34" i="53"/>
  <c r="B51" i="53"/>
  <c r="B53" i="53"/>
  <c r="F47" i="53"/>
  <c r="F39" i="53"/>
  <c r="F44" i="53"/>
  <c r="F38" i="53"/>
  <c r="F49" i="53"/>
  <c r="F51" i="53"/>
  <c r="F40" i="53"/>
  <c r="F42" i="53"/>
  <c r="F41" i="53"/>
  <c r="F45" i="53"/>
  <c r="F53" i="53"/>
  <c r="B49" i="53"/>
  <c r="B46" i="53"/>
  <c r="B42" i="53"/>
  <c r="B41" i="53"/>
  <c r="B44" i="53"/>
  <c r="B43" i="53"/>
  <c r="B37" i="53"/>
  <c r="B48" i="53"/>
  <c r="B47" i="53"/>
  <c r="B38" i="53"/>
  <c r="B39" i="53"/>
  <c r="B35" i="53"/>
  <c r="B36" i="53"/>
  <c r="D36" i="53" l="1"/>
  <c r="I36" i="53"/>
  <c r="E30" i="56" s="1"/>
  <c r="H30" i="56" s="1"/>
  <c r="E7" i="56"/>
  <c r="D39" i="53"/>
  <c r="I39" i="53"/>
  <c r="E33" i="56" s="1"/>
  <c r="H33" i="56" s="1"/>
  <c r="E10" i="56"/>
  <c r="I47" i="53"/>
  <c r="E41" i="56" s="1"/>
  <c r="H41" i="56" s="1"/>
  <c r="E18" i="56"/>
  <c r="D47" i="53"/>
  <c r="E8" i="56"/>
  <c r="D37" i="53"/>
  <c r="I37" i="53"/>
  <c r="E31" i="56" s="1"/>
  <c r="H31" i="56" s="1"/>
  <c r="E15" i="56"/>
  <c r="D44" i="53"/>
  <c r="I44" i="53"/>
  <c r="E38" i="56" s="1"/>
  <c r="H38" i="56" s="1"/>
  <c r="D42" i="53"/>
  <c r="I42" i="53"/>
  <c r="E36" i="56" s="1"/>
  <c r="H36" i="56" s="1"/>
  <c r="E13" i="56"/>
  <c r="D49" i="53"/>
  <c r="I49" i="53"/>
  <c r="E43" i="56" s="1"/>
  <c r="H43" i="56" s="1"/>
  <c r="E20" i="56"/>
  <c r="E24" i="56"/>
  <c r="D53" i="53"/>
  <c r="I53" i="53"/>
  <c r="E47" i="56" s="1"/>
  <c r="H47" i="56" s="1"/>
  <c r="E5" i="56"/>
  <c r="I34" i="53"/>
  <c r="E28" i="56" s="1"/>
  <c r="H28" i="56" s="1"/>
  <c r="D34" i="53"/>
  <c r="I52" i="53"/>
  <c r="E46" i="56" s="1"/>
  <c r="H46" i="56" s="1"/>
  <c r="E23" i="56"/>
  <c r="D52" i="53"/>
  <c r="E11" i="56"/>
  <c r="I40" i="53"/>
  <c r="E34" i="56" s="1"/>
  <c r="H34" i="56" s="1"/>
  <c r="D40" i="53"/>
  <c r="E6" i="56"/>
  <c r="D35" i="53"/>
  <c r="I35" i="53"/>
  <c r="E29" i="56" s="1"/>
  <c r="H29" i="56" s="1"/>
  <c r="I38" i="53"/>
  <c r="E32" i="56" s="1"/>
  <c r="H32" i="56" s="1"/>
  <c r="D38" i="53"/>
  <c r="E9" i="56"/>
  <c r="E19" i="56"/>
  <c r="I48" i="53"/>
  <c r="E42" i="56" s="1"/>
  <c r="H42" i="56" s="1"/>
  <c r="D48" i="53"/>
  <c r="D43" i="53"/>
  <c r="I43" i="53"/>
  <c r="E37" i="56" s="1"/>
  <c r="H37" i="56" s="1"/>
  <c r="E14" i="56"/>
  <c r="D41" i="53"/>
  <c r="I41" i="53"/>
  <c r="E35" i="56" s="1"/>
  <c r="H35" i="56" s="1"/>
  <c r="E12" i="56"/>
  <c r="D46" i="53"/>
  <c r="I46" i="53"/>
  <c r="E40" i="56" s="1"/>
  <c r="H40" i="56" s="1"/>
  <c r="E17" i="56"/>
  <c r="E22" i="56"/>
  <c r="D51" i="53"/>
  <c r="I51" i="53"/>
  <c r="E45" i="56" s="1"/>
  <c r="H45" i="56" s="1"/>
  <c r="D45" i="53"/>
  <c r="E16" i="56"/>
  <c r="I45" i="53"/>
  <c r="E39" i="56" s="1"/>
  <c r="H39" i="56" s="1"/>
  <c r="E4" i="56"/>
  <c r="D33" i="53"/>
  <c r="I33" i="53"/>
  <c r="E27" i="56" s="1"/>
  <c r="H27" i="56" s="1"/>
  <c r="E21" i="56"/>
  <c r="D50" i="53"/>
  <c r="I50" i="53"/>
  <c r="E44" i="56" s="1"/>
  <c r="H44" i="56" s="1"/>
  <c r="AM35" i="18"/>
  <c r="AM125" i="18"/>
  <c r="AM83" i="18"/>
  <c r="AM120" i="18"/>
  <c r="AM100" i="18"/>
  <c r="AM130" i="18"/>
  <c r="AM110" i="18"/>
  <c r="AM41" i="18"/>
  <c r="AM71" i="18"/>
  <c r="AM95" i="18"/>
  <c r="AM89" i="18"/>
  <c r="AM115" i="18"/>
  <c r="AM140" i="18"/>
  <c r="AM105" i="18"/>
  <c r="AM53" i="18"/>
  <c r="AM77" i="18"/>
  <c r="AM59" i="18"/>
  <c r="AM135" i="18"/>
  <c r="AM65" i="18"/>
  <c r="AM47" i="18"/>
  <c r="D38" i="59" l="1"/>
  <c r="D477" i="59" s="1"/>
  <c r="D158" i="59"/>
  <c r="D597" i="59" s="1"/>
  <c r="D178" i="59"/>
  <c r="D617" i="59" s="1"/>
  <c r="D78" i="59"/>
  <c r="D517" i="59" s="1"/>
  <c r="D298" i="59"/>
  <c r="D737" i="59" s="1"/>
  <c r="D378" i="59"/>
  <c r="D817" i="59" s="1"/>
  <c r="D98" i="59"/>
  <c r="D537" i="59" s="1"/>
  <c r="D198" i="59"/>
  <c r="D637" i="59" s="1"/>
  <c r="D358" i="59"/>
  <c r="D797" i="59" s="1"/>
  <c r="D138" i="59"/>
  <c r="D577" i="59" s="1"/>
  <c r="D318" i="59"/>
  <c r="D757" i="59" s="1"/>
  <c r="D403" i="59"/>
  <c r="D842" i="59" s="1"/>
  <c r="D218" i="59"/>
  <c r="D657" i="59" s="1"/>
  <c r="D118" i="59"/>
  <c r="D557" i="59" s="1"/>
  <c r="D398" i="59"/>
  <c r="D837" i="59" s="1"/>
  <c r="D278" i="59"/>
  <c r="D717" i="59" s="1"/>
  <c r="D258" i="59"/>
  <c r="D697" i="59" s="1"/>
  <c r="D58" i="59"/>
  <c r="D497" i="59" s="1"/>
  <c r="D338" i="59"/>
  <c r="D777" i="59" s="1"/>
  <c r="D238" i="59"/>
  <c r="D677" i="59" s="1"/>
  <c r="AN3" i="42"/>
  <c r="AM36" i="18"/>
  <c r="AM48" i="18"/>
  <c r="AN5" i="42"/>
  <c r="AN7" i="42"/>
  <c r="AM60" i="18"/>
  <c r="AN9" i="42"/>
  <c r="AM72" i="18"/>
  <c r="AM84" i="18"/>
  <c r="AN11" i="42"/>
  <c r="AN13" i="42"/>
  <c r="AN15" i="42"/>
  <c r="AN17" i="42"/>
  <c r="AN19" i="42"/>
  <c r="AN21" i="42"/>
  <c r="AN4" i="42"/>
  <c r="AM42" i="18"/>
  <c r="AM54" i="18"/>
  <c r="AN6" i="42"/>
  <c r="AM66" i="18"/>
  <c r="AN8" i="42"/>
  <c r="AM78" i="18"/>
  <c r="AN10" i="42"/>
  <c r="AM90" i="18"/>
  <c r="AN12" i="42"/>
  <c r="AN14" i="42"/>
  <c r="AN16" i="42"/>
  <c r="AN18" i="42"/>
  <c r="AN20" i="42"/>
  <c r="AN22" i="42"/>
  <c r="AT137" i="18"/>
  <c r="AV137" i="18" s="1"/>
  <c r="AW137" i="18" s="1"/>
  <c r="F64" i="56"/>
  <c r="F54" i="56"/>
  <c r="F66" i="56"/>
  <c r="F60" i="56"/>
  <c r="F58" i="56"/>
  <c r="F56" i="56"/>
  <c r="F65" i="56"/>
  <c r="F69" i="56"/>
  <c r="F71" i="56"/>
  <c r="F67" i="56"/>
  <c r="F57" i="56"/>
  <c r="F70" i="56"/>
  <c r="F63" i="56"/>
  <c r="F53" i="56"/>
  <c r="F59" i="56"/>
  <c r="F72" i="56"/>
  <c r="F62" i="56"/>
  <c r="F55" i="56"/>
  <c r="F68" i="56"/>
  <c r="F52" i="56"/>
  <c r="F61" i="56"/>
  <c r="AA2" i="29" l="1"/>
  <c r="AA11" i="29"/>
  <c r="AA18" i="29"/>
  <c r="AA21" i="29"/>
  <c r="AA5" i="29"/>
  <c r="AA19" i="29"/>
  <c r="AA12" i="29"/>
  <c r="AA15" i="29"/>
  <c r="AA22" i="29"/>
  <c r="AA6" i="29"/>
  <c r="AA9" i="29"/>
  <c r="AA8" i="29"/>
  <c r="AA3" i="29"/>
  <c r="AA10" i="29"/>
  <c r="AA13" i="29"/>
  <c r="AA16" i="29"/>
  <c r="AA20" i="29"/>
  <c r="AA4" i="29"/>
  <c r="AA7" i="29"/>
  <c r="AA14" i="29"/>
  <c r="AA17" i="29"/>
  <c r="H71" i="56"/>
  <c r="I71" i="56" s="1"/>
  <c r="P71" i="34" s="1"/>
  <c r="S53" i="34" s="1"/>
  <c r="I53" i="34" s="1"/>
  <c r="H65" i="56"/>
  <c r="I65" i="56" s="1"/>
  <c r="P65" i="34" s="1"/>
  <c r="S59" i="34" s="1"/>
  <c r="I59" i="34" s="1"/>
  <c r="H68" i="56"/>
  <c r="I68" i="56" s="1"/>
  <c r="P68" i="34" s="1"/>
  <c r="S56" i="34" s="1"/>
  <c r="I56" i="34" s="1"/>
  <c r="H55" i="56"/>
  <c r="I55" i="56" s="1"/>
  <c r="P55" i="34" s="1"/>
  <c r="S69" i="34" s="1"/>
  <c r="I69" i="34" s="1"/>
  <c r="H67" i="56"/>
  <c r="I67" i="56" s="1"/>
  <c r="P67" i="34" s="1"/>
  <c r="S57" i="34" s="1"/>
  <c r="I57" i="34" s="1"/>
  <c r="H69" i="56"/>
  <c r="I69" i="56" s="1"/>
  <c r="P69" i="34" s="1"/>
  <c r="S55" i="34" s="1"/>
  <c r="I55" i="34" s="1"/>
  <c r="H58" i="56"/>
  <c r="I58" i="56" s="1"/>
  <c r="P58" i="34" s="1"/>
  <c r="S66" i="34" s="1"/>
  <c r="I66" i="34" s="1"/>
  <c r="H60" i="56"/>
  <c r="I60" i="56" s="1"/>
  <c r="P60" i="34" s="1"/>
  <c r="S64" i="34" s="1"/>
  <c r="I64" i="34" s="1"/>
  <c r="H59" i="56"/>
  <c r="I59" i="56" s="1"/>
  <c r="P59" i="34" s="1"/>
  <c r="S65" i="34" s="1"/>
  <c r="I65" i="34" s="1"/>
  <c r="H52" i="56"/>
  <c r="I52" i="56" s="1"/>
  <c r="P52" i="34" s="1"/>
  <c r="S72" i="34" s="1"/>
  <c r="I72" i="34" s="1"/>
  <c r="H64" i="56"/>
  <c r="I64" i="56" s="1"/>
  <c r="P64" i="34" s="1"/>
  <c r="S60" i="34" s="1"/>
  <c r="I60" i="34" s="1"/>
  <c r="H72" i="56"/>
  <c r="I72" i="56" s="1"/>
  <c r="P72" i="34" s="1"/>
  <c r="H57" i="56"/>
  <c r="I57" i="56" s="1"/>
  <c r="P57" i="34" s="1"/>
  <c r="S67" i="34" s="1"/>
  <c r="I67" i="34" s="1"/>
  <c r="H56" i="56"/>
  <c r="I56" i="56" s="1"/>
  <c r="P56" i="34" s="1"/>
  <c r="S68" i="34" s="1"/>
  <c r="I68" i="34" s="1"/>
  <c r="H66" i="56"/>
  <c r="I66" i="56" s="1"/>
  <c r="P66" i="34" s="1"/>
  <c r="S58" i="34" s="1"/>
  <c r="I58" i="34" s="1"/>
  <c r="H70" i="56"/>
  <c r="I70" i="56" s="1"/>
  <c r="P70" i="34" s="1"/>
  <c r="S54" i="34" s="1"/>
  <c r="I54" i="34" s="1"/>
  <c r="H53" i="56"/>
  <c r="I53" i="56" s="1"/>
  <c r="P53" i="34" s="1"/>
  <c r="S71" i="34" s="1"/>
  <c r="I71" i="34" s="1"/>
  <c r="H62" i="56"/>
  <c r="I62" i="56" s="1"/>
  <c r="P62" i="34" s="1"/>
  <c r="S62" i="34" s="1"/>
  <c r="I62" i="34" s="1"/>
  <c r="H54" i="56"/>
  <c r="I54" i="56" s="1"/>
  <c r="P54" i="34" s="1"/>
  <c r="S70" i="34" s="1"/>
  <c r="I70" i="34" s="1"/>
  <c r="H61" i="56"/>
  <c r="I61" i="56" s="1"/>
  <c r="P61" i="34" s="1"/>
  <c r="S63" i="34" s="1"/>
  <c r="I63" i="34" s="1"/>
  <c r="H63" i="56"/>
  <c r="I63" i="56" s="1"/>
  <c r="P63" i="34" s="1"/>
  <c r="S61" i="34" s="1"/>
  <c r="I61" i="34" s="1"/>
  <c r="H13" i="56"/>
  <c r="Z11" i="28" s="1"/>
  <c r="H15" i="56"/>
  <c r="Z13" i="28" s="1"/>
  <c r="H8" i="56"/>
  <c r="H9" i="56"/>
  <c r="H10" i="56"/>
  <c r="Z8" i="28" s="1"/>
  <c r="H11" i="56"/>
  <c r="H12" i="56"/>
  <c r="Z10" i="28" s="1"/>
  <c r="H14" i="56"/>
  <c r="H16" i="56"/>
  <c r="H17" i="56"/>
  <c r="H18" i="56"/>
  <c r="H19" i="56"/>
  <c r="H20" i="56"/>
  <c r="H7" i="56"/>
  <c r="H4" i="56"/>
  <c r="H22" i="56"/>
  <c r="H21" i="56"/>
  <c r="F11" i="56"/>
  <c r="F19" i="56"/>
  <c r="F18" i="56"/>
  <c r="F10" i="56"/>
  <c r="F20" i="56"/>
  <c r="F9" i="56"/>
  <c r="F17" i="56"/>
  <c r="F4" i="56"/>
  <c r="F8" i="56"/>
  <c r="F16" i="56"/>
  <c r="F7" i="56"/>
  <c r="F15" i="56"/>
  <c r="F23" i="56"/>
  <c r="F6" i="56"/>
  <c r="F14" i="56"/>
  <c r="F5" i="56"/>
  <c r="F13" i="56"/>
  <c r="F21" i="56"/>
  <c r="F22" i="56"/>
  <c r="F12" i="56"/>
  <c r="F24" i="56"/>
  <c r="AO83" i="18"/>
  <c r="AO71" i="18"/>
  <c r="AO47" i="18"/>
  <c r="AO35" i="18"/>
  <c r="AO41" i="18"/>
  <c r="AO59" i="18"/>
  <c r="AO65" i="18"/>
  <c r="AO77" i="18"/>
  <c r="AO53" i="18"/>
  <c r="D80" i="59" l="1"/>
  <c r="D519" i="59" s="1"/>
  <c r="D40" i="59"/>
  <c r="D479" i="59" s="1"/>
  <c r="D140" i="59"/>
  <c r="D579" i="59" s="1"/>
  <c r="D100" i="59"/>
  <c r="D539" i="59" s="1"/>
  <c r="D180" i="59"/>
  <c r="D619" i="59" s="1"/>
  <c r="D160" i="59"/>
  <c r="D599" i="59" s="1"/>
  <c r="D60" i="59"/>
  <c r="D499" i="59" s="1"/>
  <c r="D120" i="59"/>
  <c r="D559" i="59" s="1"/>
  <c r="D200" i="59"/>
  <c r="D639" i="59" s="1"/>
  <c r="I10" i="56"/>
  <c r="R58" i="34" s="1"/>
  <c r="I15" i="56"/>
  <c r="X13" i="28" s="1"/>
  <c r="I13" i="56"/>
  <c r="Q40" i="36" s="1"/>
  <c r="B40" i="36" s="1"/>
  <c r="S52" i="34"/>
  <c r="I52" i="34" s="1"/>
  <c r="I12" i="56"/>
  <c r="R60" i="34" s="1"/>
  <c r="I21" i="56"/>
  <c r="X19" i="28" s="1"/>
  <c r="Z19" i="28"/>
  <c r="I4" i="56"/>
  <c r="X2" i="28" s="1"/>
  <c r="Z2" i="28"/>
  <c r="I20" i="56"/>
  <c r="R68" i="34" s="1"/>
  <c r="Z18" i="28"/>
  <c r="I18" i="56"/>
  <c r="R66" i="34" s="1"/>
  <c r="Z16" i="28"/>
  <c r="I16" i="56"/>
  <c r="R64" i="34" s="1"/>
  <c r="Z14" i="28"/>
  <c r="I9" i="56"/>
  <c r="Q36" i="36" s="1"/>
  <c r="Z7" i="28"/>
  <c r="Q42" i="36"/>
  <c r="B42" i="36" s="1"/>
  <c r="I22" i="56"/>
  <c r="X20" i="28" s="1"/>
  <c r="Z20" i="28"/>
  <c r="I7" i="56"/>
  <c r="Z5" i="28"/>
  <c r="I19" i="56"/>
  <c r="Q46" i="36" s="1"/>
  <c r="Z17" i="28"/>
  <c r="I17" i="56"/>
  <c r="Q44" i="36" s="1"/>
  <c r="Z15" i="28"/>
  <c r="I14" i="56"/>
  <c r="R62" i="34" s="1"/>
  <c r="Z12" i="28"/>
  <c r="I11" i="56"/>
  <c r="Z9" i="28"/>
  <c r="I8" i="56"/>
  <c r="X6" i="28" s="1"/>
  <c r="Z6" i="28"/>
  <c r="AO60" i="18"/>
  <c r="AP7" i="42"/>
  <c r="AO72" i="18"/>
  <c r="AP9" i="42"/>
  <c r="AP4" i="42"/>
  <c r="AO42" i="18"/>
  <c r="AO78" i="18"/>
  <c r="AP10" i="42"/>
  <c r="AO36" i="18"/>
  <c r="AP3" i="42"/>
  <c r="AP11" i="42"/>
  <c r="AO84" i="18"/>
  <c r="AP8" i="42"/>
  <c r="AO66" i="18"/>
  <c r="AP5" i="42"/>
  <c r="AO48" i="18"/>
  <c r="AO54" i="18"/>
  <c r="AP6" i="42"/>
  <c r="R55" i="34"/>
  <c r="H23" i="56"/>
  <c r="H5" i="56"/>
  <c r="H6" i="56"/>
  <c r="X11" i="28" l="1"/>
  <c r="Q31" i="36"/>
  <c r="AK29" i="18" s="1"/>
  <c r="D16" i="59" s="1"/>
  <c r="D455" i="59" s="1"/>
  <c r="R63" i="34"/>
  <c r="Q48" i="36"/>
  <c r="B48" i="36" s="1"/>
  <c r="Q37" i="36"/>
  <c r="B37" i="36" s="1"/>
  <c r="R61" i="34"/>
  <c r="R52" i="34"/>
  <c r="R69" i="34"/>
  <c r="X8" i="28"/>
  <c r="Q39" i="36"/>
  <c r="B39" i="36" s="1"/>
  <c r="J39" i="36" s="1"/>
  <c r="X10" i="28"/>
  <c r="AK83" i="18"/>
  <c r="AK95" i="18"/>
  <c r="AX96" i="18" s="1"/>
  <c r="R56" i="34"/>
  <c r="R70" i="34"/>
  <c r="Q35" i="36"/>
  <c r="AK53" i="18" s="1"/>
  <c r="D96" i="59" s="1"/>
  <c r="D535" i="59" s="1"/>
  <c r="Q49" i="36"/>
  <c r="AK130" i="18" s="1"/>
  <c r="D376" i="59" s="1"/>
  <c r="D815" i="59" s="1"/>
  <c r="I23" i="56"/>
  <c r="X21" i="28" s="1"/>
  <c r="Z21" i="28"/>
  <c r="I6" i="56"/>
  <c r="X4" i="28" s="1"/>
  <c r="Z4" i="28"/>
  <c r="I5" i="56"/>
  <c r="R53" i="34" s="1"/>
  <c r="Z3" i="28"/>
  <c r="R59" i="34"/>
  <c r="X9" i="28"/>
  <c r="Q38" i="36"/>
  <c r="Q41" i="36"/>
  <c r="X12" i="28"/>
  <c r="R65" i="34"/>
  <c r="X15" i="28"/>
  <c r="R67" i="34"/>
  <c r="X17" i="28"/>
  <c r="Q34" i="36"/>
  <c r="X5" i="28"/>
  <c r="R57" i="34"/>
  <c r="X7" i="28"/>
  <c r="Q43" i="36"/>
  <c r="X14" i="28"/>
  <c r="Q45" i="36"/>
  <c r="X16" i="28"/>
  <c r="Q47" i="36"/>
  <c r="X18" i="28"/>
  <c r="AK59" i="18"/>
  <c r="D116" i="59" s="1"/>
  <c r="D555" i="59" s="1"/>
  <c r="B36" i="36"/>
  <c r="AK105" i="18"/>
  <c r="D276" i="59" s="1"/>
  <c r="D715" i="59" s="1"/>
  <c r="B44" i="36"/>
  <c r="AK115" i="18"/>
  <c r="D316" i="59" s="1"/>
  <c r="D755" i="59" s="1"/>
  <c r="B46" i="36"/>
  <c r="F40" i="36"/>
  <c r="J40" i="36"/>
  <c r="F42" i="36"/>
  <c r="J42" i="36"/>
  <c r="B31" i="36" l="1"/>
  <c r="F31" i="36" s="1"/>
  <c r="AK125" i="18"/>
  <c r="C8" i="49" s="1"/>
  <c r="AK65" i="18"/>
  <c r="D136" i="59" s="1"/>
  <c r="D575" i="59" s="1"/>
  <c r="B49" i="36"/>
  <c r="F49" i="36" s="1"/>
  <c r="AL11" i="42"/>
  <c r="BA11" i="42" s="1"/>
  <c r="BC11" i="42" s="1"/>
  <c r="D196" i="59"/>
  <c r="D635" i="59" s="1"/>
  <c r="AL13" i="42"/>
  <c r="BJ13" i="42" s="1"/>
  <c r="BL13" i="42" s="1"/>
  <c r="D236" i="59"/>
  <c r="D675" i="59" s="1"/>
  <c r="AK84" i="18"/>
  <c r="AX84" i="18"/>
  <c r="F39" i="36"/>
  <c r="Q33" i="36"/>
  <c r="B33" i="36" s="1"/>
  <c r="Q50" i="36"/>
  <c r="AK135" i="18" s="1"/>
  <c r="R54" i="34"/>
  <c r="AK77" i="18"/>
  <c r="R71" i="34"/>
  <c r="B35" i="36"/>
  <c r="F35" i="36" s="1"/>
  <c r="AK120" i="18"/>
  <c r="D336" i="59" s="1"/>
  <c r="D775" i="59" s="1"/>
  <c r="B47" i="36"/>
  <c r="AK110" i="18"/>
  <c r="D296" i="59" s="1"/>
  <c r="D735" i="59" s="1"/>
  <c r="B45" i="36"/>
  <c r="B43" i="36"/>
  <c r="AK100" i="18"/>
  <c r="D256" i="59" s="1"/>
  <c r="D695" i="59" s="1"/>
  <c r="AK47" i="18"/>
  <c r="D76" i="59" s="1"/>
  <c r="D515" i="59" s="1"/>
  <c r="B34" i="36"/>
  <c r="AK89" i="18"/>
  <c r="D216" i="59" s="1"/>
  <c r="D655" i="59" s="1"/>
  <c r="B41" i="36"/>
  <c r="AK71" i="18"/>
  <c r="D156" i="59" s="1"/>
  <c r="D595" i="59" s="1"/>
  <c r="B38" i="36"/>
  <c r="Q32" i="36"/>
  <c r="X3" i="28"/>
  <c r="AX66" i="18"/>
  <c r="J37" i="36"/>
  <c r="F37" i="36"/>
  <c r="F48" i="36"/>
  <c r="J48" i="36"/>
  <c r="AX131" i="18"/>
  <c r="AL20" i="42"/>
  <c r="BJ20" i="42" s="1"/>
  <c r="BL20" i="42" s="1"/>
  <c r="J31" i="36"/>
  <c r="J46" i="36"/>
  <c r="F46" i="36"/>
  <c r="F44" i="36"/>
  <c r="J44" i="36"/>
  <c r="J36" i="36"/>
  <c r="F36" i="36"/>
  <c r="AL6" i="42"/>
  <c r="BA6" i="42" s="1"/>
  <c r="BC6" i="42" s="1"/>
  <c r="AX54" i="18"/>
  <c r="AK54" i="18"/>
  <c r="AX30" i="18"/>
  <c r="AL2" i="42"/>
  <c r="BA2" i="42" s="1"/>
  <c r="BC2" i="42" s="1"/>
  <c r="AK30" i="18"/>
  <c r="AX116" i="18"/>
  <c r="AL17" i="42"/>
  <c r="BJ17" i="42" s="1"/>
  <c r="BL17" i="42" s="1"/>
  <c r="AX106" i="18"/>
  <c r="AL15" i="42"/>
  <c r="BJ15" i="42" s="1"/>
  <c r="BL15" i="42" s="1"/>
  <c r="AX60" i="18"/>
  <c r="AL7" i="42"/>
  <c r="BA7" i="42" s="1"/>
  <c r="BC7" i="42" s="1"/>
  <c r="AK60" i="18"/>
  <c r="H24" i="56"/>
  <c r="AX126" i="18" l="1"/>
  <c r="J49" i="36"/>
  <c r="AL19" i="42"/>
  <c r="BJ19" i="42" s="1"/>
  <c r="BL19" i="42" s="1"/>
  <c r="D356" i="59"/>
  <c r="D795" i="59" s="1"/>
  <c r="AK66" i="18"/>
  <c r="AL8" i="42"/>
  <c r="BA8" i="42" s="1"/>
  <c r="BC8" i="42" s="1"/>
  <c r="B50" i="36"/>
  <c r="J50" i="36" s="1"/>
  <c r="AK41" i="18"/>
  <c r="D56" i="59" s="1"/>
  <c r="D495" i="59" s="1"/>
  <c r="AL10" i="42"/>
  <c r="BA10" i="42" s="1"/>
  <c r="BC10" i="42" s="1"/>
  <c r="D176" i="59"/>
  <c r="D615" i="59" s="1"/>
  <c r="AL21" i="42"/>
  <c r="BJ21" i="42" s="1"/>
  <c r="BL21" i="42" s="1"/>
  <c r="D396" i="59"/>
  <c r="D835" i="59" s="1"/>
  <c r="J35" i="36"/>
  <c r="AX136" i="18"/>
  <c r="AK78" i="18"/>
  <c r="AX78" i="18"/>
  <c r="AK35" i="18"/>
  <c r="D36" i="59" s="1"/>
  <c r="D475" i="59" s="1"/>
  <c r="B32" i="36"/>
  <c r="AL9" i="42"/>
  <c r="BA9" i="42" s="1"/>
  <c r="BC9" i="42" s="1"/>
  <c r="AX72" i="18"/>
  <c r="AK72" i="18"/>
  <c r="F41" i="36"/>
  <c r="J41" i="36"/>
  <c r="J34" i="36"/>
  <c r="F34" i="36"/>
  <c r="AL14" i="42"/>
  <c r="BJ14" i="42" s="1"/>
  <c r="BL14" i="42" s="1"/>
  <c r="AX101" i="18"/>
  <c r="J45" i="36"/>
  <c r="F45" i="36"/>
  <c r="F47" i="36"/>
  <c r="J47" i="36"/>
  <c r="I24" i="56"/>
  <c r="Z22" i="28"/>
  <c r="F38" i="36"/>
  <c r="J38" i="36"/>
  <c r="AL12" i="42"/>
  <c r="AX90" i="18"/>
  <c r="AK90" i="18"/>
  <c r="AX48" i="18"/>
  <c r="AL5" i="42"/>
  <c r="BA5" i="42" s="1"/>
  <c r="BC5" i="42" s="1"/>
  <c r="AK48" i="18"/>
  <c r="J43" i="36"/>
  <c r="F43" i="36"/>
  <c r="AX111" i="18"/>
  <c r="AL16" i="42"/>
  <c r="BJ16" i="42" s="1"/>
  <c r="BL16" i="42" s="1"/>
  <c r="AX121" i="18"/>
  <c r="AL18" i="42"/>
  <c r="BJ18" i="42" s="1"/>
  <c r="BL18" i="42" s="1"/>
  <c r="J33" i="36"/>
  <c r="F33" i="36"/>
  <c r="F50" i="36" l="1"/>
  <c r="BA42" i="18"/>
  <c r="AL4" i="42"/>
  <c r="BA4" i="42" s="1"/>
  <c r="BC4" i="42" s="1"/>
  <c r="AX42" i="18"/>
  <c r="AK42" i="18"/>
  <c r="X22" i="28"/>
  <c r="R72" i="34"/>
  <c r="Q51" i="36"/>
  <c r="AL3" i="42"/>
  <c r="BA3" i="42" s="1"/>
  <c r="BC3" i="42" s="1"/>
  <c r="AK36" i="18"/>
  <c r="AX36" i="18"/>
  <c r="BA12" i="42"/>
  <c r="BC12" i="42" s="1"/>
  <c r="BJ12" i="42"/>
  <c r="BL12" i="42" s="1"/>
  <c r="BL23" i="42" s="1"/>
  <c r="BL25" i="42" s="1"/>
  <c r="BL27" i="42" s="1"/>
  <c r="BP27" i="42" s="1"/>
  <c r="B41" i="49" s="1"/>
  <c r="F41" i="49" s="1"/>
  <c r="F32" i="36"/>
  <c r="J32" i="36"/>
  <c r="B40" i="49" l="1"/>
  <c r="BC23" i="42"/>
  <c r="BC25" i="42" s="1"/>
  <c r="BC27" i="42" s="1"/>
  <c r="F40" i="49"/>
  <c r="AT107" i="18"/>
  <c r="AV107" i="18" s="1"/>
  <c r="AW107" i="18" s="1"/>
  <c r="AT38" i="18"/>
  <c r="AV38" i="18" s="1"/>
  <c r="AW38" i="18" s="1"/>
  <c r="AT97" i="18"/>
  <c r="AV97" i="18" s="1"/>
  <c r="AW97" i="18" s="1"/>
  <c r="AT92" i="18"/>
  <c r="AV92" i="18" s="1"/>
  <c r="AW92" i="18" s="1"/>
  <c r="AT80" i="18"/>
  <c r="AV80" i="18" s="1"/>
  <c r="AW80" i="18" s="1"/>
  <c r="AT86" i="18"/>
  <c r="AV86" i="18" s="1"/>
  <c r="AW86" i="18" s="1"/>
  <c r="AT112" i="18"/>
  <c r="AV112" i="18" s="1"/>
  <c r="AW112" i="18" s="1"/>
  <c r="AT56" i="18"/>
  <c r="AV56" i="18" s="1"/>
  <c r="AW56" i="18" s="1"/>
  <c r="AT117" i="18"/>
  <c r="AV117" i="18" s="1"/>
  <c r="AW117" i="18" s="1"/>
  <c r="AT50" i="18"/>
  <c r="AV50" i="18" s="1"/>
  <c r="AW50" i="18" s="1"/>
  <c r="AT62" i="18"/>
  <c r="AV62" i="18" s="1"/>
  <c r="AW62" i="18" s="1"/>
  <c r="AT122" i="18"/>
  <c r="AV122" i="18" s="1"/>
  <c r="AW122" i="18" s="1"/>
  <c r="AT102" i="18"/>
  <c r="AV102" i="18" s="1"/>
  <c r="AW102" i="18" s="1"/>
  <c r="AT74" i="18"/>
  <c r="AV74" i="18" s="1"/>
  <c r="AW74" i="18" s="1"/>
  <c r="AT44" i="18"/>
  <c r="AV44" i="18" s="1"/>
  <c r="AW44" i="18" s="1"/>
  <c r="AT127" i="18"/>
  <c r="AV127" i="18" s="1"/>
  <c r="AW127" i="18" s="1"/>
  <c r="AT132" i="18"/>
  <c r="AV132" i="18" s="1"/>
  <c r="AW132" i="18" s="1"/>
  <c r="AT68" i="18"/>
  <c r="AV68" i="18" s="1"/>
  <c r="AW68" i="18" s="1"/>
  <c r="BG27" i="42" l="1"/>
  <c r="B39" i="49" s="1"/>
  <c r="B38" i="49"/>
  <c r="AS50" i="18"/>
  <c r="AX53" i="18" s="1"/>
  <c r="AU50" i="18" s="1"/>
  <c r="G35" i="36" s="1"/>
  <c r="AS68" i="18"/>
  <c r="AX71" i="18" s="1"/>
  <c r="AS62" i="18"/>
  <c r="AX65" i="18" s="1"/>
  <c r="AU62" i="18" s="1"/>
  <c r="G37" i="36" s="1"/>
  <c r="AS56" i="18"/>
  <c r="AX59" i="18" s="1"/>
  <c r="AU56" i="18" s="1"/>
  <c r="G36" i="36" s="1"/>
  <c r="AS80" i="18"/>
  <c r="AX83" i="18" s="1"/>
  <c r="AU80" i="18" s="1"/>
  <c r="G40" i="36" s="1"/>
  <c r="C40" i="36" s="1"/>
  <c r="M40" i="36"/>
  <c r="B50" i="49" l="1"/>
  <c r="B44" i="51" s="1"/>
  <c r="K40" i="36"/>
  <c r="AS74" i="18"/>
  <c r="AX77" i="18" s="1"/>
  <c r="K35" i="36"/>
  <c r="K37" i="36"/>
  <c r="C35" i="36"/>
  <c r="C36" i="36"/>
  <c r="L40" i="36"/>
  <c r="K36" i="36"/>
  <c r="C37" i="36"/>
  <c r="AU68" i="18"/>
  <c r="G38" i="36" s="1"/>
  <c r="C38" i="36" s="1"/>
  <c r="M36" i="36"/>
  <c r="M35" i="36"/>
  <c r="M37" i="36"/>
  <c r="M38" i="36"/>
  <c r="N40" i="36" l="1"/>
  <c r="N35" i="36"/>
  <c r="N36" i="36"/>
  <c r="L35" i="36"/>
  <c r="L37" i="36"/>
  <c r="O35" i="36"/>
  <c r="AU74" i="18"/>
  <c r="G39" i="36" s="1"/>
  <c r="K38" i="36"/>
  <c r="L38" i="36" s="1"/>
  <c r="O36" i="36"/>
  <c r="N37" i="36"/>
  <c r="L36" i="36"/>
  <c r="O37" i="36"/>
  <c r="O40" i="36"/>
  <c r="D52" i="18" l="1"/>
  <c r="D82" i="18"/>
  <c r="V40" i="36" s="1"/>
  <c r="D40" i="36" s="1"/>
  <c r="T40" i="36" s="1"/>
  <c r="N38" i="36"/>
  <c r="K39" i="36"/>
  <c r="D58" i="18"/>
  <c r="N64" i="18"/>
  <c r="M64" i="18"/>
  <c r="G82" i="18"/>
  <c r="G83" i="18" s="1"/>
  <c r="Z83" i="18" s="1"/>
  <c r="L82" i="18"/>
  <c r="L83" i="18" s="1"/>
  <c r="AE83" i="18" s="1"/>
  <c r="L64" i="18"/>
  <c r="K64" i="18"/>
  <c r="I82" i="18"/>
  <c r="I83" i="18" s="1"/>
  <c r="AB83" i="18" s="1"/>
  <c r="P82" i="18"/>
  <c r="P83" i="18" s="1"/>
  <c r="AI83" i="18" s="1"/>
  <c r="H82" i="18"/>
  <c r="H83" i="18" s="1"/>
  <c r="AA83" i="18" s="1"/>
  <c r="AN65" i="18"/>
  <c r="Q64" i="18"/>
  <c r="K82" i="18"/>
  <c r="K83" i="18" s="1"/>
  <c r="AD83" i="18" s="1"/>
  <c r="AN83" i="18"/>
  <c r="H64" i="18"/>
  <c r="G64" i="18"/>
  <c r="E82" i="18"/>
  <c r="E83" i="18" s="1"/>
  <c r="X83" i="18" s="1"/>
  <c r="M82" i="18"/>
  <c r="M83" i="18" s="1"/>
  <c r="AF83" i="18" s="1"/>
  <c r="O38" i="36"/>
  <c r="C39" i="36"/>
  <c r="D64" i="18"/>
  <c r="F64" i="18"/>
  <c r="E64" i="18"/>
  <c r="O82" i="18"/>
  <c r="O83" i="18" s="1"/>
  <c r="AH83" i="18" s="1"/>
  <c r="F82" i="18"/>
  <c r="F83" i="18" s="1"/>
  <c r="Y83" i="18" s="1"/>
  <c r="C64" i="18"/>
  <c r="AL65" i="18"/>
  <c r="Q82" i="18"/>
  <c r="Q83" i="18" s="1"/>
  <c r="AJ83" i="18" s="1"/>
  <c r="J82" i="18"/>
  <c r="J83" i="18" s="1"/>
  <c r="AC83" i="18" s="1"/>
  <c r="J64" i="18"/>
  <c r="I64" i="18"/>
  <c r="C82" i="18"/>
  <c r="C83" i="18" s="1"/>
  <c r="V83" i="18" s="1"/>
  <c r="AL83" i="18"/>
  <c r="N82" i="18"/>
  <c r="N83" i="18" s="1"/>
  <c r="AG83" i="18" s="1"/>
  <c r="P64" i="18"/>
  <c r="O64" i="18"/>
  <c r="V37" i="36"/>
  <c r="V35" i="36"/>
  <c r="M39" i="36"/>
  <c r="V36" i="36"/>
  <c r="AM8" i="42" l="1"/>
  <c r="D137" i="59"/>
  <c r="D576" i="59" s="1"/>
  <c r="AO8" i="42"/>
  <c r="D139" i="59"/>
  <c r="D578" i="59" s="1"/>
  <c r="AM11" i="42"/>
  <c r="D197" i="59"/>
  <c r="D636" i="59" s="1"/>
  <c r="AO11" i="42"/>
  <c r="D199" i="59"/>
  <c r="D638" i="59" s="1"/>
  <c r="AD11" i="42"/>
  <c r="D188" i="59"/>
  <c r="D627" i="59" s="1"/>
  <c r="Z11" i="42"/>
  <c r="D184" i="59"/>
  <c r="D623" i="59" s="1"/>
  <c r="Y11" i="42"/>
  <c r="D183" i="59"/>
  <c r="D622" i="59" s="1"/>
  <c r="AE11" i="42"/>
  <c r="D189" i="59"/>
  <c r="D628" i="59" s="1"/>
  <c r="AJ11" i="42"/>
  <c r="D194" i="59"/>
  <c r="D633" i="59" s="1"/>
  <c r="AF11" i="42"/>
  <c r="D190" i="59"/>
  <c r="D629" i="59" s="1"/>
  <c r="AH11" i="42"/>
  <c r="D192" i="59"/>
  <c r="D631" i="59" s="1"/>
  <c r="W11" i="42"/>
  <c r="D181" i="59"/>
  <c r="D620" i="59" s="1"/>
  <c r="AK11" i="42"/>
  <c r="D195" i="59"/>
  <c r="D634" i="59" s="1"/>
  <c r="AI11" i="42"/>
  <c r="D193" i="59"/>
  <c r="D632" i="59" s="1"/>
  <c r="AG11" i="42"/>
  <c r="D191" i="59"/>
  <c r="D630" i="59" s="1"/>
  <c r="AB11" i="42"/>
  <c r="D186" i="59"/>
  <c r="D625" i="59" s="1"/>
  <c r="AC11" i="42"/>
  <c r="D187" i="59"/>
  <c r="D626" i="59" s="1"/>
  <c r="AA11" i="42"/>
  <c r="D185" i="59"/>
  <c r="D624" i="59" s="1"/>
  <c r="H40" i="36"/>
  <c r="K81" i="18" s="1"/>
  <c r="B147" i="18"/>
  <c r="D83" i="18"/>
  <c r="W83" i="18" s="1"/>
  <c r="N39" i="36"/>
  <c r="O39" i="36"/>
  <c r="E70" i="18"/>
  <c r="T64" i="18"/>
  <c r="G70" i="18"/>
  <c r="L70" i="18"/>
  <c r="D147" i="18"/>
  <c r="M70" i="18"/>
  <c r="S64" i="18"/>
  <c r="F70" i="18"/>
  <c r="N70" i="18"/>
  <c r="O70" i="18"/>
  <c r="I70" i="18"/>
  <c r="H70" i="18"/>
  <c r="J70" i="18"/>
  <c r="AN71" i="18"/>
  <c r="D70" i="18"/>
  <c r="V38" i="36" s="1"/>
  <c r="D38" i="36" s="1"/>
  <c r="L39" i="36"/>
  <c r="Q70" i="18"/>
  <c r="P70" i="18"/>
  <c r="C70" i="18"/>
  <c r="K70" i="18"/>
  <c r="AL71" i="18"/>
  <c r="D35" i="36"/>
  <c r="D37" i="36"/>
  <c r="D36" i="36"/>
  <c r="P81" i="18" l="1"/>
  <c r="T37" i="36"/>
  <c r="H37" i="36"/>
  <c r="O63" i="18" s="1"/>
  <c r="O65" i="18" s="1"/>
  <c r="AH65" i="18" s="1"/>
  <c r="H35" i="36"/>
  <c r="T35" i="36"/>
  <c r="B142" i="18"/>
  <c r="T36" i="36"/>
  <c r="H36" i="36"/>
  <c r="G57" i="18" s="1"/>
  <c r="AM9" i="42"/>
  <c r="D157" i="59"/>
  <c r="D596" i="59" s="1"/>
  <c r="AO9" i="42"/>
  <c r="D159" i="59"/>
  <c r="D598" i="59" s="1"/>
  <c r="X11" i="42"/>
  <c r="D182" i="59"/>
  <c r="D621" i="59" s="1"/>
  <c r="W84" i="18"/>
  <c r="Q81" i="18"/>
  <c r="M81" i="18"/>
  <c r="I81" i="18"/>
  <c r="S81" i="18"/>
  <c r="E81" i="18"/>
  <c r="L81" i="18"/>
  <c r="N81" i="18"/>
  <c r="T81" i="18"/>
  <c r="H81" i="18"/>
  <c r="D81" i="18"/>
  <c r="C81" i="18"/>
  <c r="G81" i="18"/>
  <c r="O81" i="18"/>
  <c r="J81" i="18"/>
  <c r="F81" i="18"/>
  <c r="J63" i="18"/>
  <c r="J65" i="18" s="1"/>
  <c r="AC65" i="18" s="1"/>
  <c r="T38" i="36"/>
  <c r="B145" i="18"/>
  <c r="H38" i="36"/>
  <c r="L69" i="18" s="1"/>
  <c r="L71" i="18" s="1"/>
  <c r="AE71" i="18" s="1"/>
  <c r="D76" i="18"/>
  <c r="V39" i="36" s="1"/>
  <c r="D39" i="36" s="1"/>
  <c r="G76" i="18"/>
  <c r="G77" i="18" s="1"/>
  <c r="Z77" i="18" s="1"/>
  <c r="O76" i="18"/>
  <c r="O77" i="18" s="1"/>
  <c r="AH77" i="18" s="1"/>
  <c r="N76" i="18"/>
  <c r="N77" i="18" s="1"/>
  <c r="AG77" i="18" s="1"/>
  <c r="E58" i="18"/>
  <c r="E57" i="18"/>
  <c r="L58" i="18"/>
  <c r="L57" i="18"/>
  <c r="C52" i="18"/>
  <c r="E52" i="18"/>
  <c r="AN47" i="18"/>
  <c r="I76" i="18"/>
  <c r="I77" i="18" s="1"/>
  <c r="AB77" i="18" s="1"/>
  <c r="Q76" i="18"/>
  <c r="Q77" i="18" s="1"/>
  <c r="AJ77" i="18" s="1"/>
  <c r="AN77" i="18"/>
  <c r="L76" i="18"/>
  <c r="L77" i="18" s="1"/>
  <c r="AE77" i="18" s="1"/>
  <c r="G58" i="18"/>
  <c r="H58" i="18"/>
  <c r="N52" i="18"/>
  <c r="O52" i="18"/>
  <c r="AL59" i="18"/>
  <c r="N58" i="18"/>
  <c r="AN53" i="18"/>
  <c r="D145" i="18"/>
  <c r="I58" i="18"/>
  <c r="AN59" i="18"/>
  <c r="H52" i="18"/>
  <c r="I52" i="18"/>
  <c r="Q52" i="18"/>
  <c r="M76" i="18"/>
  <c r="M77" i="18" s="1"/>
  <c r="AF77" i="18" s="1"/>
  <c r="C76" i="18"/>
  <c r="C77" i="18" s="1"/>
  <c r="V77" i="18" s="1"/>
  <c r="K76" i="18"/>
  <c r="K77" i="18" s="1"/>
  <c r="AD77" i="18" s="1"/>
  <c r="AL77" i="18"/>
  <c r="H76" i="18"/>
  <c r="H77" i="18" s="1"/>
  <c r="AA77" i="18" s="1"/>
  <c r="M58" i="18"/>
  <c r="F58" i="18"/>
  <c r="L52" i="18"/>
  <c r="M52" i="18"/>
  <c r="AS44" i="18"/>
  <c r="AX47" i="18" s="1"/>
  <c r="AU44" i="18" s="1"/>
  <c r="G34" i="36" s="1"/>
  <c r="E76" i="18"/>
  <c r="E77" i="18" s="1"/>
  <c r="X77" i="18" s="1"/>
  <c r="J76" i="18"/>
  <c r="J77" i="18" s="1"/>
  <c r="AC77" i="18" s="1"/>
  <c r="F76" i="18"/>
  <c r="F77" i="18" s="1"/>
  <c r="Y77" i="18" s="1"/>
  <c r="C58" i="18"/>
  <c r="O58" i="18"/>
  <c r="F52" i="18"/>
  <c r="G52" i="18"/>
  <c r="AL47" i="18"/>
  <c r="K58" i="18"/>
  <c r="P58" i="18"/>
  <c r="J52" i="18"/>
  <c r="AL53" i="18"/>
  <c r="P63" i="18"/>
  <c r="P65" i="18" s="1"/>
  <c r="AI65" i="18" s="1"/>
  <c r="P76" i="18"/>
  <c r="P77" i="18" s="1"/>
  <c r="AI77" i="18" s="1"/>
  <c r="Q58" i="18"/>
  <c r="J58" i="18"/>
  <c r="P52" i="18"/>
  <c r="K52" i="18"/>
  <c r="E63" i="18" l="1"/>
  <c r="E65" i="18" s="1"/>
  <c r="X65" i="18" s="1"/>
  <c r="Y8" i="42" s="1"/>
  <c r="H63" i="18"/>
  <c r="H65" i="18" s="1"/>
  <c r="AA65" i="18" s="1"/>
  <c r="D126" i="59" s="1"/>
  <c r="D565" i="59" s="1"/>
  <c r="T63" i="18"/>
  <c r="T65" i="18" s="1"/>
  <c r="S63" i="18"/>
  <c r="S65" i="18" s="1"/>
  <c r="D63" i="18"/>
  <c r="D65" i="18" s="1"/>
  <c r="W65" i="18" s="1"/>
  <c r="D122" i="59" s="1"/>
  <c r="D561" i="59" s="1"/>
  <c r="G63" i="18"/>
  <c r="G65" i="18" s="1"/>
  <c r="Z65" i="18" s="1"/>
  <c r="D125" i="59" s="1"/>
  <c r="D564" i="59" s="1"/>
  <c r="L63" i="18"/>
  <c r="L65" i="18" s="1"/>
  <c r="AE65" i="18" s="1"/>
  <c r="AF8" i="42" s="1"/>
  <c r="K63" i="18"/>
  <c r="K65" i="18" s="1"/>
  <c r="AD65" i="18" s="1"/>
  <c r="AE8" i="42" s="1"/>
  <c r="F63" i="18"/>
  <c r="F65" i="18" s="1"/>
  <c r="Y65" i="18" s="1"/>
  <c r="D124" i="59" s="1"/>
  <c r="D563" i="59" s="1"/>
  <c r="I63" i="18"/>
  <c r="I65" i="18" s="1"/>
  <c r="AB65" i="18" s="1"/>
  <c r="D127" i="59" s="1"/>
  <c r="D566" i="59" s="1"/>
  <c r="C63" i="18"/>
  <c r="C65" i="18" s="1"/>
  <c r="V65" i="18" s="1"/>
  <c r="D121" i="59" s="1"/>
  <c r="D560" i="59" s="1"/>
  <c r="J57" i="18"/>
  <c r="J59" i="18" s="1"/>
  <c r="AC59" i="18" s="1"/>
  <c r="Q57" i="18"/>
  <c r="Q59" i="18" s="1"/>
  <c r="AJ59" i="18" s="1"/>
  <c r="O57" i="18"/>
  <c r="O59" i="18" s="1"/>
  <c r="AH59" i="18" s="1"/>
  <c r="C57" i="18"/>
  <c r="C59" i="18" s="1"/>
  <c r="V59" i="18" s="1"/>
  <c r="F57" i="18"/>
  <c r="F59" i="18" s="1"/>
  <c r="Y59" i="18" s="1"/>
  <c r="M57" i="18"/>
  <c r="M59" i="18" s="1"/>
  <c r="AF59" i="18" s="1"/>
  <c r="D57" i="18"/>
  <c r="D59" i="18" s="1"/>
  <c r="W59" i="18" s="1"/>
  <c r="D102" i="59" s="1"/>
  <c r="D541" i="59" s="1"/>
  <c r="I57" i="18"/>
  <c r="I59" i="18" s="1"/>
  <c r="AB59" i="18" s="1"/>
  <c r="N57" i="18"/>
  <c r="N59" i="18" s="1"/>
  <c r="AG59" i="18" s="1"/>
  <c r="M63" i="18"/>
  <c r="M65" i="18" s="1"/>
  <c r="AF65" i="18" s="1"/>
  <c r="AG8" i="42" s="1"/>
  <c r="P57" i="18"/>
  <c r="P59" i="18" s="1"/>
  <c r="AI59" i="18" s="1"/>
  <c r="K57" i="18"/>
  <c r="K59" i="18" s="1"/>
  <c r="AD59" i="18" s="1"/>
  <c r="H57" i="18"/>
  <c r="H59" i="18" s="1"/>
  <c r="AA59" i="18" s="1"/>
  <c r="N63" i="18"/>
  <c r="N65" i="18" s="1"/>
  <c r="AG65" i="18" s="1"/>
  <c r="D132" i="59" s="1"/>
  <c r="D571" i="59" s="1"/>
  <c r="Q63" i="18"/>
  <c r="Q65" i="18" s="1"/>
  <c r="AJ65" i="18" s="1"/>
  <c r="D135" i="59" s="1"/>
  <c r="D574" i="59" s="1"/>
  <c r="D150" i="59"/>
  <c r="D589" i="59" s="1"/>
  <c r="AF9" i="42"/>
  <c r="AD8" i="42"/>
  <c r="D128" i="59"/>
  <c r="D567" i="59" s="1"/>
  <c r="AC66" i="18"/>
  <c r="X8" i="42"/>
  <c r="AI8" i="42"/>
  <c r="D133" i="59"/>
  <c r="D572" i="59" s="1"/>
  <c r="AH66" i="18"/>
  <c r="D123" i="59"/>
  <c r="D562" i="59" s="1"/>
  <c r="X66" i="18"/>
  <c r="AJ8" i="42"/>
  <c r="D134" i="59"/>
  <c r="D573" i="59" s="1"/>
  <c r="AI66" i="18"/>
  <c r="AM7" i="42"/>
  <c r="D117" i="59"/>
  <c r="D556" i="59" s="1"/>
  <c r="AO10" i="42"/>
  <c r="D179" i="59"/>
  <c r="D618" i="59" s="1"/>
  <c r="AM6" i="42"/>
  <c r="D97" i="59"/>
  <c r="D536" i="59" s="1"/>
  <c r="AM5" i="42"/>
  <c r="D77" i="59"/>
  <c r="D516" i="59" s="1"/>
  <c r="AM10" i="42"/>
  <c r="D177" i="59"/>
  <c r="D616" i="59" s="1"/>
  <c r="AO7" i="42"/>
  <c r="D119" i="59"/>
  <c r="D558" i="59" s="1"/>
  <c r="AO6" i="42"/>
  <c r="D99" i="59"/>
  <c r="D538" i="59" s="1"/>
  <c r="AO5" i="42"/>
  <c r="D79" i="59"/>
  <c r="D518" i="59" s="1"/>
  <c r="AJ10" i="42"/>
  <c r="D174" i="59"/>
  <c r="D613" i="59" s="1"/>
  <c r="Z10" i="42"/>
  <c r="D164" i="59"/>
  <c r="D603" i="59" s="1"/>
  <c r="Y10" i="42"/>
  <c r="D163" i="59"/>
  <c r="D602" i="59" s="1"/>
  <c r="AB10" i="42"/>
  <c r="D166" i="59"/>
  <c r="D605" i="59" s="1"/>
  <c r="AE10" i="42"/>
  <c r="D169" i="59"/>
  <c r="D608" i="59" s="1"/>
  <c r="AG10" i="42"/>
  <c r="D171" i="59"/>
  <c r="D610" i="59" s="1"/>
  <c r="AC10" i="42"/>
  <c r="D167" i="59"/>
  <c r="D606" i="59" s="1"/>
  <c r="AH10" i="42"/>
  <c r="D172" i="59"/>
  <c r="D611" i="59" s="1"/>
  <c r="AA10" i="42"/>
  <c r="D165" i="59"/>
  <c r="D604" i="59" s="1"/>
  <c r="AD10" i="42"/>
  <c r="D168" i="59"/>
  <c r="D607" i="59" s="1"/>
  <c r="W10" i="42"/>
  <c r="D161" i="59"/>
  <c r="D600" i="59" s="1"/>
  <c r="AF10" i="42"/>
  <c r="D170" i="59"/>
  <c r="D609" i="59" s="1"/>
  <c r="AK10" i="42"/>
  <c r="D175" i="59"/>
  <c r="D614" i="59" s="1"/>
  <c r="AI10" i="42"/>
  <c r="D173" i="59"/>
  <c r="D612" i="59" s="1"/>
  <c r="I69" i="18"/>
  <c r="I71" i="18" s="1"/>
  <c r="AB71" i="18" s="1"/>
  <c r="G59" i="18"/>
  <c r="Z59" i="18" s="1"/>
  <c r="L59" i="18"/>
  <c r="AE59" i="18" s="1"/>
  <c r="E59" i="18"/>
  <c r="X59" i="18" s="1"/>
  <c r="P69" i="18"/>
  <c r="P71" i="18" s="1"/>
  <c r="AI71" i="18" s="1"/>
  <c r="D69" i="18"/>
  <c r="D71" i="18" s="1"/>
  <c r="W71" i="18" s="1"/>
  <c r="X9" i="42" s="1"/>
  <c r="Q69" i="18"/>
  <c r="Q71" i="18" s="1"/>
  <c r="AJ71" i="18" s="1"/>
  <c r="S69" i="18"/>
  <c r="M69" i="18"/>
  <c r="M71" i="18" s="1"/>
  <c r="AF71" i="18" s="1"/>
  <c r="N69" i="18"/>
  <c r="N71" i="18" s="1"/>
  <c r="AG71" i="18" s="1"/>
  <c r="K69" i="18"/>
  <c r="K71" i="18" s="1"/>
  <c r="AD71" i="18" s="1"/>
  <c r="F69" i="18"/>
  <c r="F71" i="18" s="1"/>
  <c r="Y71" i="18" s="1"/>
  <c r="H69" i="18"/>
  <c r="H71" i="18" s="1"/>
  <c r="AA71" i="18" s="1"/>
  <c r="E69" i="18"/>
  <c r="E71" i="18" s="1"/>
  <c r="X71" i="18" s="1"/>
  <c r="T69" i="18"/>
  <c r="D146" i="18"/>
  <c r="T39" i="36"/>
  <c r="H39" i="36"/>
  <c r="Z84" i="18"/>
  <c r="AH84" i="18"/>
  <c r="AC84" i="18"/>
  <c r="V84" i="18"/>
  <c r="AG84" i="18"/>
  <c r="AJ84" i="18"/>
  <c r="AA84" i="18"/>
  <c r="AB84" i="18"/>
  <c r="AE84" i="18"/>
  <c r="G69" i="18"/>
  <c r="G71" i="18" s="1"/>
  <c r="Z71" i="18" s="1"/>
  <c r="J69" i="18"/>
  <c r="J71" i="18" s="1"/>
  <c r="AC71" i="18" s="1"/>
  <c r="O69" i="18"/>
  <c r="O71" i="18" s="1"/>
  <c r="AH71" i="18" s="1"/>
  <c r="C69" i="18"/>
  <c r="C71" i="18" s="1"/>
  <c r="V71" i="18" s="1"/>
  <c r="D77" i="18"/>
  <c r="W77" i="18" s="1"/>
  <c r="D162" i="59" s="1"/>
  <c r="D601" i="59" s="1"/>
  <c r="B146" i="18"/>
  <c r="Y84" i="18"/>
  <c r="B144" i="18"/>
  <c r="AF84" i="18"/>
  <c r="AD84" i="18"/>
  <c r="X84" i="18"/>
  <c r="AI84" i="18"/>
  <c r="AB8" i="42" l="1"/>
  <c r="V66" i="18"/>
  <c r="W66" i="18"/>
  <c r="AA8" i="42"/>
  <c r="AC8" i="42"/>
  <c r="Z66" i="18"/>
  <c r="AA66" i="18"/>
  <c r="AD66" i="18"/>
  <c r="Z8" i="42"/>
  <c r="Y66" i="18"/>
  <c r="D130" i="59"/>
  <c r="D569" i="59" s="1"/>
  <c r="AK8" i="42"/>
  <c r="AE66" i="18"/>
  <c r="X7" i="42"/>
  <c r="AJ66" i="18"/>
  <c r="AB66" i="18"/>
  <c r="D129" i="59"/>
  <c r="D568" i="59" s="1"/>
  <c r="W8" i="42"/>
  <c r="D131" i="59"/>
  <c r="D570" i="59" s="1"/>
  <c r="AF66" i="18"/>
  <c r="AG66" i="18"/>
  <c r="W72" i="18"/>
  <c r="AH8" i="42"/>
  <c r="D141" i="59"/>
  <c r="D580" i="59" s="1"/>
  <c r="W9" i="42"/>
  <c r="D148" i="59"/>
  <c r="D587" i="59" s="1"/>
  <c r="AD9" i="42"/>
  <c r="D153" i="59"/>
  <c r="D592" i="59" s="1"/>
  <c r="AI9" i="42"/>
  <c r="D145" i="59"/>
  <c r="D584" i="59" s="1"/>
  <c r="AA9" i="42"/>
  <c r="D146" i="59"/>
  <c r="D585" i="59" s="1"/>
  <c r="AB9" i="42"/>
  <c r="D149" i="59"/>
  <c r="D588" i="59" s="1"/>
  <c r="AE9" i="42"/>
  <c r="D151" i="59"/>
  <c r="D590" i="59" s="1"/>
  <c r="AG9" i="42"/>
  <c r="D155" i="59"/>
  <c r="D594" i="59" s="1"/>
  <c r="AK9" i="42"/>
  <c r="D154" i="59"/>
  <c r="D593" i="59" s="1"/>
  <c r="AJ9" i="42"/>
  <c r="D142" i="59"/>
  <c r="D581" i="59" s="1"/>
  <c r="D143" i="59"/>
  <c r="D582" i="59" s="1"/>
  <c r="Y9" i="42"/>
  <c r="D144" i="59"/>
  <c r="D583" i="59" s="1"/>
  <c r="Z9" i="42"/>
  <c r="D152" i="59"/>
  <c r="D591" i="59" s="1"/>
  <c r="AH9" i="42"/>
  <c r="D147" i="59"/>
  <c r="D586" i="59" s="1"/>
  <c r="AC9" i="42"/>
  <c r="AC7" i="42"/>
  <c r="D107" i="59"/>
  <c r="D546" i="59" s="1"/>
  <c r="AJ7" i="42"/>
  <c r="D114" i="59"/>
  <c r="D553" i="59" s="1"/>
  <c r="AF7" i="42"/>
  <c r="D110" i="59"/>
  <c r="D549" i="59" s="1"/>
  <c r="AB7" i="42"/>
  <c r="D106" i="59"/>
  <c r="D545" i="59" s="1"/>
  <c r="Z7" i="42"/>
  <c r="D104" i="59"/>
  <c r="D543" i="59" s="1"/>
  <c r="AI7" i="42"/>
  <c r="D113" i="59"/>
  <c r="D552" i="59" s="1"/>
  <c r="AD7" i="42"/>
  <c r="D108" i="59"/>
  <c r="D547" i="59" s="1"/>
  <c r="AH7" i="42"/>
  <c r="D112" i="59"/>
  <c r="D551" i="59" s="1"/>
  <c r="AE7" i="42"/>
  <c r="D109" i="59"/>
  <c r="D548" i="59" s="1"/>
  <c r="Y7" i="42"/>
  <c r="D103" i="59"/>
  <c r="D542" i="59" s="1"/>
  <c r="AA7" i="42"/>
  <c r="D105" i="59"/>
  <c r="D544" i="59" s="1"/>
  <c r="AG7" i="42"/>
  <c r="D111" i="59"/>
  <c r="D550" i="59" s="1"/>
  <c r="W7" i="42"/>
  <c r="D101" i="59"/>
  <c r="D540" i="59" s="1"/>
  <c r="AK7" i="42"/>
  <c r="D115" i="59"/>
  <c r="D554" i="59" s="1"/>
  <c r="W78" i="18"/>
  <c r="X10" i="42"/>
  <c r="K75" i="18"/>
  <c r="Q75" i="18"/>
  <c r="P75" i="18"/>
  <c r="J75" i="18"/>
  <c r="M75" i="18"/>
  <c r="N75" i="18"/>
  <c r="H75" i="18"/>
  <c r="F75" i="18"/>
  <c r="T75" i="18"/>
  <c r="S75" i="18"/>
  <c r="C75" i="18"/>
  <c r="E75" i="18"/>
  <c r="O75" i="18"/>
  <c r="I75" i="18"/>
  <c r="D75" i="18"/>
  <c r="G75" i="18"/>
  <c r="L75" i="18"/>
  <c r="E51" i="18"/>
  <c r="E53" i="18" s="1"/>
  <c r="X53" i="18" s="1"/>
  <c r="D83" i="59" s="1"/>
  <c r="D522" i="59" s="1"/>
  <c r="P51" i="18"/>
  <c r="P53" i="18" s="1"/>
  <c r="AI53" i="18" s="1"/>
  <c r="D94" i="59" s="1"/>
  <c r="D533" i="59" s="1"/>
  <c r="N51" i="18"/>
  <c r="N53" i="18" s="1"/>
  <c r="AG53" i="18" s="1"/>
  <c r="D92" i="59" s="1"/>
  <c r="D531" i="59" s="1"/>
  <c r="T51" i="18"/>
  <c r="G51" i="18"/>
  <c r="G53" i="18" s="1"/>
  <c r="Z53" i="18" s="1"/>
  <c r="D85" i="59" s="1"/>
  <c r="D524" i="59" s="1"/>
  <c r="D143" i="18"/>
  <c r="X78" i="18"/>
  <c r="C34" i="36"/>
  <c r="AG78" i="18"/>
  <c r="AJ78" i="18"/>
  <c r="AH60" i="18"/>
  <c r="V72" i="18"/>
  <c r="AB72" i="18"/>
  <c r="Y78" i="18"/>
  <c r="X60" i="18"/>
  <c r="AD60" i="18"/>
  <c r="AE78" i="18"/>
  <c r="AF78" i="18"/>
  <c r="AI60" i="18"/>
  <c r="L51" i="18"/>
  <c r="L53" i="18" s="1"/>
  <c r="AE53" i="18" s="1"/>
  <c r="D90" i="59" s="1"/>
  <c r="D529" i="59" s="1"/>
  <c r="H51" i="18"/>
  <c r="H53" i="18" s="1"/>
  <c r="AA53" i="18" s="1"/>
  <c r="D86" i="59" s="1"/>
  <c r="D525" i="59" s="1"/>
  <c r="W60" i="18"/>
  <c r="O51" i="18"/>
  <c r="O53" i="18" s="1"/>
  <c r="AH53" i="18" s="1"/>
  <c r="D93" i="59" s="1"/>
  <c r="D532" i="59" s="1"/>
  <c r="C51" i="18"/>
  <c r="C53" i="18" s="1"/>
  <c r="V53" i="18" s="1"/>
  <c r="D81" i="59" s="1"/>
  <c r="D520" i="59" s="1"/>
  <c r="AF72" i="18"/>
  <c r="AA72" i="18"/>
  <c r="AE72" i="18"/>
  <c r="AC78" i="18"/>
  <c r="D142" i="18"/>
  <c r="AI72" i="18"/>
  <c r="Y60" i="18"/>
  <c r="AE60" i="18"/>
  <c r="AD78" i="18"/>
  <c r="AH78" i="18"/>
  <c r="AG60" i="18"/>
  <c r="AA60" i="18"/>
  <c r="Z78" i="18"/>
  <c r="AA78" i="18"/>
  <c r="AC72" i="18"/>
  <c r="T82" i="18"/>
  <c r="T83" i="18" s="1"/>
  <c r="AB60" i="18"/>
  <c r="D51" i="18"/>
  <c r="D53" i="18" s="1"/>
  <c r="W53" i="18" s="1"/>
  <c r="D82" i="59" s="1"/>
  <c r="D521" i="59" s="1"/>
  <c r="F51" i="18"/>
  <c r="F53" i="18" s="1"/>
  <c r="Y53" i="18" s="1"/>
  <c r="D84" i="59" s="1"/>
  <c r="D523" i="59" s="1"/>
  <c r="I51" i="18"/>
  <c r="I53" i="18" s="1"/>
  <c r="AB53" i="18" s="1"/>
  <c r="D87" i="59" s="1"/>
  <c r="D526" i="59" s="1"/>
  <c r="AJ72" i="18"/>
  <c r="AD72" i="18"/>
  <c r="Z60" i="18"/>
  <c r="V60" i="18"/>
  <c r="AH72" i="18"/>
  <c r="Y72" i="18"/>
  <c r="S57" i="18"/>
  <c r="V78" i="18"/>
  <c r="S82" i="18"/>
  <c r="S83" i="18" s="1"/>
  <c r="X72" i="18"/>
  <c r="AG72" i="18"/>
  <c r="AC60" i="18"/>
  <c r="Q51" i="18"/>
  <c r="Q53" i="18" s="1"/>
  <c r="AJ53" i="18" s="1"/>
  <c r="D95" i="59" s="1"/>
  <c r="D534" i="59" s="1"/>
  <c r="S51" i="18"/>
  <c r="M51" i="18"/>
  <c r="M53" i="18" s="1"/>
  <c r="AF53" i="18" s="1"/>
  <c r="D91" i="59" s="1"/>
  <c r="D530" i="59" s="1"/>
  <c r="J51" i="18"/>
  <c r="J53" i="18" s="1"/>
  <c r="AC53" i="18" s="1"/>
  <c r="D88" i="59" s="1"/>
  <c r="D527" i="59" s="1"/>
  <c r="K51" i="18"/>
  <c r="K53" i="18" s="1"/>
  <c r="AD53" i="18" s="1"/>
  <c r="D89" i="59" s="1"/>
  <c r="D528" i="59" s="1"/>
  <c r="T57" i="18"/>
  <c r="D144" i="18"/>
  <c r="AI78" i="18"/>
  <c r="AB78" i="18"/>
  <c r="AJ60" i="18"/>
  <c r="Z72" i="18"/>
  <c r="AF60" i="18"/>
  <c r="M34" i="36"/>
  <c r="AG6" i="42" l="1"/>
  <c r="AA54" i="18"/>
  <c r="AJ6" i="42"/>
  <c r="Y6" i="42"/>
  <c r="AC6" i="42"/>
  <c r="Z54" i="18"/>
  <c r="Y54" i="18"/>
  <c r="AD6" i="42"/>
  <c r="AH6" i="42"/>
  <c r="W54" i="18"/>
  <c r="AF6" i="42"/>
  <c r="AJ54" i="18"/>
  <c r="W6" i="42"/>
  <c r="AD54" i="18"/>
  <c r="AH54" i="18"/>
  <c r="B143" i="18"/>
  <c r="I40" i="36"/>
  <c r="Z6" i="42"/>
  <c r="AC54" i="18"/>
  <c r="AG54" i="18"/>
  <c r="X6" i="42"/>
  <c r="AE54" i="18"/>
  <c r="AK6" i="42"/>
  <c r="V54" i="18"/>
  <c r="AE6" i="42"/>
  <c r="AI6" i="42"/>
  <c r="AF54" i="18"/>
  <c r="AB6" i="42"/>
  <c r="AI54" i="18"/>
  <c r="X54" i="18"/>
  <c r="AB54" i="18"/>
  <c r="AA6" i="42"/>
  <c r="W40" i="36"/>
  <c r="AS32" i="18" l="1"/>
  <c r="AX35" i="18" s="1"/>
  <c r="AU32" i="18" s="1"/>
  <c r="G32" i="36" s="1"/>
  <c r="AL35" i="18"/>
  <c r="AN35" i="18"/>
  <c r="AO3" i="42" l="1"/>
  <c r="D39" i="59"/>
  <c r="D478" i="59" s="1"/>
  <c r="AM3" i="42"/>
  <c r="D37" i="59"/>
  <c r="D476" i="59" s="1"/>
  <c r="AS38" i="18"/>
  <c r="AX41" i="18" s="1"/>
  <c r="AU38" i="18" s="1"/>
  <c r="G33" i="36" s="1"/>
  <c r="AL41" i="18"/>
  <c r="AN41" i="18"/>
  <c r="AO4" i="42" l="1"/>
  <c r="D59" i="59"/>
  <c r="D498" i="59" s="1"/>
  <c r="AM4" i="42"/>
  <c r="D57" i="59"/>
  <c r="D496" i="59" s="1"/>
  <c r="AR6" i="42"/>
  <c r="AT6" i="42" s="1"/>
  <c r="S58" i="18"/>
  <c r="S59" i="18" s="1"/>
  <c r="AR9" i="42"/>
  <c r="AT9" i="42" s="1"/>
  <c r="K32" i="36"/>
  <c r="AR10" i="42"/>
  <c r="AT10" i="42" s="1"/>
  <c r="AR5" i="42"/>
  <c r="AT5" i="42" s="1"/>
  <c r="T58" i="18"/>
  <c r="T59" i="18" s="1"/>
  <c r="K34" i="36"/>
  <c r="O34" i="36" s="1"/>
  <c r="AR7" i="42"/>
  <c r="AT7" i="42" s="1"/>
  <c r="S70" i="18"/>
  <c r="S71" i="18" s="1"/>
  <c r="S76" i="18"/>
  <c r="S77" i="18" s="1"/>
  <c r="T52" i="18"/>
  <c r="T53" i="18" s="1"/>
  <c r="T70" i="18"/>
  <c r="T71" i="18" s="1"/>
  <c r="AR11" i="42"/>
  <c r="AT11" i="42" s="1"/>
  <c r="S52" i="18"/>
  <c r="S53" i="18" s="1"/>
  <c r="C147" i="18"/>
  <c r="T76" i="18"/>
  <c r="T77" i="18" s="1"/>
  <c r="I38" i="36"/>
  <c r="AR8" i="42"/>
  <c r="AT8" i="42" s="1"/>
  <c r="K33" i="36"/>
  <c r="W38" i="36"/>
  <c r="L34" i="36" l="1"/>
  <c r="N34" i="36"/>
  <c r="AR4" i="42"/>
  <c r="AX4" i="42" s="1"/>
  <c r="AR3" i="42"/>
  <c r="AT3" i="42" s="1"/>
  <c r="I37" i="36"/>
  <c r="C32" i="36"/>
  <c r="AL78" i="18"/>
  <c r="AN78" i="18"/>
  <c r="AX39" i="18"/>
  <c r="C141" i="18"/>
  <c r="AN60" i="18"/>
  <c r="AX69" i="18"/>
  <c r="AL84" i="18"/>
  <c r="C145" i="18"/>
  <c r="AX9" i="42"/>
  <c r="AX8" i="42"/>
  <c r="AN84" i="18"/>
  <c r="AX81" i="18"/>
  <c r="AX56" i="18"/>
  <c r="AX33" i="18"/>
  <c r="AX62" i="18"/>
  <c r="AR32" i="18"/>
  <c r="C142" i="18"/>
  <c r="AL66" i="18"/>
  <c r="AN66" i="18"/>
  <c r="AR44" i="18"/>
  <c r="AN48" i="18"/>
  <c r="I36" i="36"/>
  <c r="I39" i="36"/>
  <c r="AX10" i="42"/>
  <c r="AX11" i="42"/>
  <c r="AX75" i="18"/>
  <c r="AL54" i="18"/>
  <c r="AR56" i="18"/>
  <c r="AX45" i="18"/>
  <c r="AN54" i="18"/>
  <c r="AR68" i="18"/>
  <c r="AR38" i="18"/>
  <c r="C33" i="36"/>
  <c r="AX7" i="42"/>
  <c r="AX6" i="42"/>
  <c r="AL48" i="18"/>
  <c r="AL42" i="18"/>
  <c r="I35" i="36"/>
  <c r="C146" i="18"/>
  <c r="C143" i="18"/>
  <c r="C144" i="18"/>
  <c r="AL36" i="18"/>
  <c r="AX63" i="18"/>
  <c r="AL60" i="18"/>
  <c r="AX80" i="18"/>
  <c r="AX57" i="18"/>
  <c r="AR80" i="18"/>
  <c r="AX44" i="18"/>
  <c r="AX74" i="18"/>
  <c r="I34" i="36"/>
  <c r="AX38" i="18"/>
  <c r="AN72" i="18"/>
  <c r="AT32" i="18"/>
  <c r="AV32" i="18" s="1"/>
  <c r="AW32" i="18" s="1"/>
  <c r="AX32" i="18" s="1"/>
  <c r="AN36" i="18"/>
  <c r="AR50" i="18"/>
  <c r="AX68" i="18"/>
  <c r="AX5" i="42"/>
  <c r="AX50" i="18"/>
  <c r="AX51" i="18"/>
  <c r="AN42" i="18"/>
  <c r="AR74" i="18"/>
  <c r="AL72" i="18"/>
  <c r="AR62" i="18"/>
  <c r="M33" i="36"/>
  <c r="M32" i="36"/>
  <c r="W34" i="36"/>
  <c r="W37" i="36"/>
  <c r="W36" i="36"/>
  <c r="W35" i="36"/>
  <c r="W39" i="36"/>
  <c r="AT4" i="42" l="1"/>
  <c r="N32" i="36"/>
  <c r="I32" i="36"/>
  <c r="W32" i="36" s="1"/>
  <c r="O32" i="36"/>
  <c r="L32" i="36"/>
  <c r="N33" i="36"/>
  <c r="I33" i="36"/>
  <c r="W33" i="36" s="1"/>
  <c r="O33" i="36"/>
  <c r="L33" i="36"/>
  <c r="C139" i="18"/>
  <c r="C140" i="18"/>
  <c r="E46" i="18"/>
  <c r="O46" i="18"/>
  <c r="I46" i="18"/>
  <c r="S46" i="18"/>
  <c r="Q46" i="18"/>
  <c r="K46" i="18"/>
  <c r="F46" i="18"/>
  <c r="L46" i="18"/>
  <c r="J46" i="18"/>
  <c r="H46" i="18"/>
  <c r="M46" i="18"/>
  <c r="D46" i="18"/>
  <c r="AX3" i="42"/>
  <c r="N46" i="18"/>
  <c r="C46" i="18"/>
  <c r="P46" i="18"/>
  <c r="T46" i="18"/>
  <c r="G46" i="18"/>
  <c r="AO105" i="18"/>
  <c r="AO125" i="18"/>
  <c r="AO95" i="18"/>
  <c r="AO140" i="18"/>
  <c r="AO120" i="18"/>
  <c r="AO89" i="18"/>
  <c r="AO115" i="18"/>
  <c r="AO100" i="18"/>
  <c r="AO135" i="18"/>
  <c r="AO110" i="18"/>
  <c r="AO130" i="18"/>
  <c r="V34" i="36"/>
  <c r="N40" i="18" l="1"/>
  <c r="K40" i="18"/>
  <c r="L40" i="18"/>
  <c r="T34" i="18"/>
  <c r="E40" i="18"/>
  <c r="D34" i="18"/>
  <c r="H34" i="18"/>
  <c r="H40" i="18"/>
  <c r="E34" i="18"/>
  <c r="M34" i="18"/>
  <c r="D40" i="18"/>
  <c r="Q40" i="18"/>
  <c r="C34" i="18"/>
  <c r="C40" i="18"/>
  <c r="T40" i="18"/>
  <c r="G34" i="18"/>
  <c r="S34" i="18"/>
  <c r="K34" i="18"/>
  <c r="P34" i="18"/>
  <c r="M40" i="18"/>
  <c r="I40" i="18"/>
  <c r="G40" i="18"/>
  <c r="L34" i="18"/>
  <c r="J40" i="18"/>
  <c r="P40" i="18"/>
  <c r="J34" i="18"/>
  <c r="S40" i="18"/>
  <c r="O40" i="18"/>
  <c r="I34" i="18"/>
  <c r="F34" i="18"/>
  <c r="Q34" i="18"/>
  <c r="F40" i="18"/>
  <c r="O34" i="18"/>
  <c r="N34" i="18"/>
  <c r="D141" i="18"/>
  <c r="D340" i="59"/>
  <c r="D779" i="59" s="1"/>
  <c r="D360" i="59"/>
  <c r="D799" i="59" s="1"/>
  <c r="D400" i="59"/>
  <c r="D839" i="59" s="1"/>
  <c r="D320" i="59"/>
  <c r="D759" i="59" s="1"/>
  <c r="D405" i="59"/>
  <c r="D844" i="59" s="1"/>
  <c r="D300" i="59"/>
  <c r="D739" i="59" s="1"/>
  <c r="D380" i="59"/>
  <c r="D819" i="59" s="1"/>
  <c r="D280" i="59"/>
  <c r="D719" i="59" s="1"/>
  <c r="D240" i="59"/>
  <c r="D679" i="59" s="1"/>
  <c r="D260" i="59"/>
  <c r="D699" i="59" s="1"/>
  <c r="D220" i="59"/>
  <c r="D659" i="59" s="1"/>
  <c r="AP13" i="42"/>
  <c r="AP15" i="42"/>
  <c r="AP17" i="42"/>
  <c r="C9" i="49"/>
  <c r="C12" i="49" s="1"/>
  <c r="C16" i="49" s="1"/>
  <c r="H24" i="51" s="1"/>
  <c r="AP19" i="42"/>
  <c r="AP21" i="42"/>
  <c r="AP12" i="42"/>
  <c r="AO90" i="18"/>
  <c r="AP14" i="42"/>
  <c r="AP16" i="42"/>
  <c r="AP18" i="42"/>
  <c r="AP20" i="42"/>
  <c r="AP22" i="42"/>
  <c r="AN140" i="18"/>
  <c r="AL140" i="18"/>
  <c r="AS137" i="18"/>
  <c r="AX140" i="18" s="1"/>
  <c r="AU137" i="18" s="1"/>
  <c r="AS92" i="18"/>
  <c r="AX95" i="18" s="1"/>
  <c r="AU92" i="18" s="1"/>
  <c r="G42" i="36" s="1"/>
  <c r="AS107" i="18"/>
  <c r="AX110" i="18" s="1"/>
  <c r="AU107" i="18" s="1"/>
  <c r="G45" i="36" s="1"/>
  <c r="AS97" i="18"/>
  <c r="AX100" i="18" s="1"/>
  <c r="AU97" i="18" s="1"/>
  <c r="G43" i="36" s="1"/>
  <c r="AS102" i="18"/>
  <c r="AX105" i="18" s="1"/>
  <c r="AU102" i="18" s="1"/>
  <c r="G44" i="36" s="1"/>
  <c r="AS112" i="18"/>
  <c r="AX115" i="18" s="1"/>
  <c r="D12" i="58"/>
  <c r="D15" i="58"/>
  <c r="D13" i="58"/>
  <c r="D16" i="58"/>
  <c r="D14" i="58"/>
  <c r="D34" i="36"/>
  <c r="V33" i="36"/>
  <c r="D19" i="58" l="1"/>
  <c r="H34" i="36"/>
  <c r="K45" i="18" s="1"/>
  <c r="K47" i="18" s="1"/>
  <c r="AD47" i="18" s="1"/>
  <c r="T34" i="36"/>
  <c r="B141" i="18"/>
  <c r="D20" i="58"/>
  <c r="D402" i="59"/>
  <c r="D841" i="59" s="1"/>
  <c r="AX137" i="18"/>
  <c r="D140" i="18"/>
  <c r="AO22" i="42"/>
  <c r="D404" i="59"/>
  <c r="D843" i="59" s="1"/>
  <c r="D23" i="58"/>
  <c r="D22" i="58"/>
  <c r="D21" i="58"/>
  <c r="AM22" i="42"/>
  <c r="AX138" i="18"/>
  <c r="K44" i="36"/>
  <c r="C44" i="36"/>
  <c r="K43" i="36"/>
  <c r="C43" i="36"/>
  <c r="C42" i="36"/>
  <c r="K42" i="36"/>
  <c r="AU112" i="18"/>
  <c r="G46" i="36" s="1"/>
  <c r="K45" i="36"/>
  <c r="C45" i="36"/>
  <c r="AS117" i="18"/>
  <c r="AX120" i="18" s="1"/>
  <c r="D33" i="36"/>
  <c r="M45" i="36"/>
  <c r="M42" i="36"/>
  <c r="V32" i="36"/>
  <c r="M43" i="36"/>
  <c r="M44" i="36"/>
  <c r="S45" i="18" l="1"/>
  <c r="S47" i="18" s="1"/>
  <c r="M45" i="18"/>
  <c r="M47" i="18" s="1"/>
  <c r="AF47" i="18" s="1"/>
  <c r="D71" i="59" s="1"/>
  <c r="D510" i="59" s="1"/>
  <c r="H45" i="18"/>
  <c r="H47" i="18" s="1"/>
  <c r="AA47" i="18" s="1"/>
  <c r="D66" i="59" s="1"/>
  <c r="D505" i="59" s="1"/>
  <c r="J45" i="18"/>
  <c r="J47" i="18" s="1"/>
  <c r="AC47" i="18" s="1"/>
  <c r="AD5" i="42" s="1"/>
  <c r="N45" i="18"/>
  <c r="N47" i="18" s="1"/>
  <c r="AG47" i="18" s="1"/>
  <c r="D72" i="59" s="1"/>
  <c r="D511" i="59" s="1"/>
  <c r="T45" i="18"/>
  <c r="T47" i="18" s="1"/>
  <c r="O45" i="18"/>
  <c r="O47" i="18" s="1"/>
  <c r="AH47" i="18" s="1"/>
  <c r="AI5" i="42" s="1"/>
  <c r="F45" i="18"/>
  <c r="F47" i="18" s="1"/>
  <c r="Y47" i="18" s="1"/>
  <c r="D64" i="59" s="1"/>
  <c r="D503" i="59" s="1"/>
  <c r="D45" i="18"/>
  <c r="D47" i="18" s="1"/>
  <c r="W47" i="18" s="1"/>
  <c r="X5" i="42" s="1"/>
  <c r="P45" i="18"/>
  <c r="P47" i="18" s="1"/>
  <c r="AI47" i="18" s="1"/>
  <c r="AI48" i="18" s="1"/>
  <c r="E45" i="18"/>
  <c r="E47" i="18" s="1"/>
  <c r="X47" i="18" s="1"/>
  <c r="D63" i="59" s="1"/>
  <c r="D502" i="59" s="1"/>
  <c r="L45" i="18"/>
  <c r="L47" i="18" s="1"/>
  <c r="AE47" i="18" s="1"/>
  <c r="AE48" i="18" s="1"/>
  <c r="G45" i="18"/>
  <c r="G47" i="18" s="1"/>
  <c r="Z47" i="18" s="1"/>
  <c r="Z48" i="18" s="1"/>
  <c r="I45" i="18"/>
  <c r="I47" i="18" s="1"/>
  <c r="AB47" i="18" s="1"/>
  <c r="D67" i="59" s="1"/>
  <c r="D506" i="59" s="1"/>
  <c r="C45" i="18"/>
  <c r="C47" i="18" s="1"/>
  <c r="V47" i="18" s="1"/>
  <c r="W5" i="42" s="1"/>
  <c r="Q45" i="18"/>
  <c r="Q47" i="18" s="1"/>
  <c r="AJ47" i="18" s="1"/>
  <c r="AK5" i="42" s="1"/>
  <c r="T33" i="36"/>
  <c r="H33" i="36"/>
  <c r="C39" i="18" s="1"/>
  <c r="C41" i="18" s="1"/>
  <c r="V41" i="18" s="1"/>
  <c r="B140" i="18"/>
  <c r="AE5" i="42"/>
  <c r="AD48" i="18"/>
  <c r="D69" i="59"/>
  <c r="D508" i="59" s="1"/>
  <c r="D139" i="18"/>
  <c r="AR22" i="42"/>
  <c r="L43" i="36"/>
  <c r="N43" i="36"/>
  <c r="O43" i="36"/>
  <c r="O44" i="36"/>
  <c r="L44" i="36"/>
  <c r="N44" i="36"/>
  <c r="L42" i="36"/>
  <c r="N42" i="36"/>
  <c r="O42" i="36"/>
  <c r="O45" i="36"/>
  <c r="L45" i="36"/>
  <c r="AU117" i="18"/>
  <c r="G47" i="36" s="1"/>
  <c r="C46" i="36"/>
  <c r="K46" i="36"/>
  <c r="N45" i="36"/>
  <c r="D32" i="36"/>
  <c r="M46" i="36"/>
  <c r="X48" i="18" l="1"/>
  <c r="AG5" i="42"/>
  <c r="Q39" i="18"/>
  <c r="Q41" i="18" s="1"/>
  <c r="AJ41" i="18" s="1"/>
  <c r="D55" i="59" s="1"/>
  <c r="D494" i="59" s="1"/>
  <c r="AH5" i="42"/>
  <c r="D73" i="59"/>
  <c r="D512" i="59" s="1"/>
  <c r="D74" i="59"/>
  <c r="D513" i="59" s="1"/>
  <c r="Z5" i="42"/>
  <c r="AF48" i="18"/>
  <c r="AB48" i="18"/>
  <c r="AA48" i="18"/>
  <c r="S39" i="18"/>
  <c r="S41" i="18" s="1"/>
  <c r="AJ48" i="18"/>
  <c r="AG48" i="18"/>
  <c r="V48" i="18"/>
  <c r="Y5" i="42"/>
  <c r="AC48" i="18"/>
  <c r="D68" i="59"/>
  <c r="D507" i="59" s="1"/>
  <c r="AJ5" i="42"/>
  <c r="Y48" i="18"/>
  <c r="D65" i="59"/>
  <c r="D504" i="59" s="1"/>
  <c r="J39" i="18"/>
  <c r="J41" i="18" s="1"/>
  <c r="AC41" i="18" s="1"/>
  <c r="AD4" i="42" s="1"/>
  <c r="I39" i="18"/>
  <c r="I41" i="18" s="1"/>
  <c r="AB41" i="18" s="1"/>
  <c r="AC4" i="42" s="1"/>
  <c r="D75" i="59"/>
  <c r="D514" i="59" s="1"/>
  <c r="AC5" i="42"/>
  <c r="D70" i="59"/>
  <c r="D509" i="59" s="1"/>
  <c r="AH48" i="18"/>
  <c r="AB5" i="42"/>
  <c r="W48" i="18"/>
  <c r="D62" i="59"/>
  <c r="D501" i="59" s="1"/>
  <c r="D61" i="59"/>
  <c r="D500" i="59" s="1"/>
  <c r="AA5" i="42"/>
  <c r="N39" i="18"/>
  <c r="N41" i="18" s="1"/>
  <c r="AG41" i="18" s="1"/>
  <c r="AG42" i="18" s="1"/>
  <c r="F39" i="18"/>
  <c r="F41" i="18" s="1"/>
  <c r="Y41" i="18" s="1"/>
  <c r="Y42" i="18" s="1"/>
  <c r="M39" i="18"/>
  <c r="M41" i="18" s="1"/>
  <c r="AF41" i="18" s="1"/>
  <c r="D51" i="59" s="1"/>
  <c r="D490" i="59" s="1"/>
  <c r="E39" i="18"/>
  <c r="E41" i="18" s="1"/>
  <c r="X41" i="18" s="1"/>
  <c r="D43" i="59" s="1"/>
  <c r="D482" i="59" s="1"/>
  <c r="AF5" i="42"/>
  <c r="T32" i="36"/>
  <c r="H32" i="36"/>
  <c r="S33" i="18" s="1"/>
  <c r="S35" i="18" s="1"/>
  <c r="B139" i="18"/>
  <c r="V42" i="18"/>
  <c r="W4" i="42"/>
  <c r="D41" i="59"/>
  <c r="D480" i="59" s="1"/>
  <c r="D48" i="59"/>
  <c r="D487" i="59" s="1"/>
  <c r="AB42" i="18"/>
  <c r="T39" i="18"/>
  <c r="T41" i="18" s="1"/>
  <c r="P39" i="18"/>
  <c r="P41" i="18" s="1"/>
  <c r="AI41" i="18" s="1"/>
  <c r="L39" i="18"/>
  <c r="L41" i="18" s="1"/>
  <c r="AE41" i="18" s="1"/>
  <c r="H39" i="18"/>
  <c r="H41" i="18" s="1"/>
  <c r="AA41" i="18" s="1"/>
  <c r="D39" i="18"/>
  <c r="D41" i="18" s="1"/>
  <c r="W41" i="18" s="1"/>
  <c r="O39" i="18"/>
  <c r="O41" i="18" s="1"/>
  <c r="AH41" i="18" s="1"/>
  <c r="K39" i="18"/>
  <c r="K41" i="18" s="1"/>
  <c r="AD41" i="18" s="1"/>
  <c r="G39" i="18"/>
  <c r="G41" i="18" s="1"/>
  <c r="Z41" i="18" s="1"/>
  <c r="AX22" i="42"/>
  <c r="AT22" i="42"/>
  <c r="AT27" i="42"/>
  <c r="D99" i="18"/>
  <c r="V43" i="36" s="1"/>
  <c r="D43" i="36" s="1"/>
  <c r="T43" i="36" s="1"/>
  <c r="D104" i="18"/>
  <c r="V44" i="36" s="1"/>
  <c r="D44" i="36" s="1"/>
  <c r="D94" i="18"/>
  <c r="V42" i="36" s="1"/>
  <c r="D42" i="36" s="1"/>
  <c r="D109" i="18"/>
  <c r="V45" i="36" s="1"/>
  <c r="D45" i="36" s="1"/>
  <c r="L46" i="36"/>
  <c r="K47" i="36"/>
  <c r="N46" i="36"/>
  <c r="C47" i="36"/>
  <c r="O46" i="36"/>
  <c r="M47" i="36"/>
  <c r="K33" i="18" l="1"/>
  <c r="K35" i="18" s="1"/>
  <c r="AD35" i="18" s="1"/>
  <c r="AD36" i="18" s="1"/>
  <c r="D47" i="59"/>
  <c r="D486" i="59" s="1"/>
  <c r="AJ42" i="18"/>
  <c r="N33" i="18"/>
  <c r="N35" i="18" s="1"/>
  <c r="AG35" i="18" s="1"/>
  <c r="AG36" i="18" s="1"/>
  <c r="AK4" i="42"/>
  <c r="D33" i="18"/>
  <c r="D35" i="18" s="1"/>
  <c r="W35" i="18" s="1"/>
  <c r="W36" i="18" s="1"/>
  <c r="AQ38" i="18"/>
  <c r="BA41" i="18" s="1"/>
  <c r="AC42" i="18"/>
  <c r="X42" i="18"/>
  <c r="D44" i="59"/>
  <c r="D483" i="59" s="1"/>
  <c r="T44" i="36"/>
  <c r="G33" i="18"/>
  <c r="G35" i="18" s="1"/>
  <c r="Z35" i="18" s="1"/>
  <c r="Z36" i="18" s="1"/>
  <c r="O33" i="18"/>
  <c r="O35" i="18" s="1"/>
  <c r="AH35" i="18" s="1"/>
  <c r="AI3" i="42" s="1"/>
  <c r="E33" i="18"/>
  <c r="E35" i="18" s="1"/>
  <c r="X35" i="18" s="1"/>
  <c r="X36" i="18" s="1"/>
  <c r="AG4" i="42"/>
  <c r="Y4" i="42"/>
  <c r="Z4" i="42"/>
  <c r="F33" i="18"/>
  <c r="F35" i="18" s="1"/>
  <c r="Y35" i="18" s="1"/>
  <c r="Z3" i="42" s="1"/>
  <c r="AF42" i="18"/>
  <c r="D52" i="59"/>
  <c r="D491" i="59" s="1"/>
  <c r="M33" i="18"/>
  <c r="M35" i="18" s="1"/>
  <c r="AF35" i="18" s="1"/>
  <c r="AF36" i="18" s="1"/>
  <c r="J33" i="18"/>
  <c r="J35" i="18" s="1"/>
  <c r="AC35" i="18" s="1"/>
  <c r="AC36" i="18" s="1"/>
  <c r="AH4" i="42"/>
  <c r="D32" i="59"/>
  <c r="D471" i="59" s="1"/>
  <c r="Z42" i="18"/>
  <c r="AA4" i="42"/>
  <c r="D45" i="59"/>
  <c r="D484" i="59" s="1"/>
  <c r="AH42" i="18"/>
  <c r="AI4" i="42"/>
  <c r="D53" i="59"/>
  <c r="D492" i="59" s="1"/>
  <c r="AA42" i="18"/>
  <c r="AB4" i="42"/>
  <c r="D46" i="59"/>
  <c r="D485" i="59" s="1"/>
  <c r="AI42" i="18"/>
  <c r="AJ4" i="42"/>
  <c r="D54" i="59"/>
  <c r="D493" i="59" s="1"/>
  <c r="C33" i="18"/>
  <c r="C35" i="18" s="1"/>
  <c r="V35" i="18" s="1"/>
  <c r="Q33" i="18"/>
  <c r="Q35" i="18" s="1"/>
  <c r="AJ35" i="18" s="1"/>
  <c r="L33" i="18"/>
  <c r="L35" i="18" s="1"/>
  <c r="AE35" i="18" s="1"/>
  <c r="T33" i="18"/>
  <c r="T35" i="18" s="1"/>
  <c r="I33" i="18"/>
  <c r="I35" i="18" s="1"/>
  <c r="AB35" i="18" s="1"/>
  <c r="H33" i="18"/>
  <c r="H35" i="18" s="1"/>
  <c r="AA35" i="18" s="1"/>
  <c r="P33" i="18"/>
  <c r="P35" i="18" s="1"/>
  <c r="AI35" i="18" s="1"/>
  <c r="AD42" i="18"/>
  <c r="AE4" i="42"/>
  <c r="D49" i="59"/>
  <c r="D488" i="59" s="1"/>
  <c r="D42" i="59"/>
  <c r="D481" i="59" s="1"/>
  <c r="W42" i="18"/>
  <c r="X4" i="42"/>
  <c r="AE42" i="18"/>
  <c r="D50" i="59"/>
  <c r="D489" i="59" s="1"/>
  <c r="AF4" i="42"/>
  <c r="T45" i="36"/>
  <c r="H42" i="36"/>
  <c r="T42" i="36"/>
  <c r="D114" i="18"/>
  <c r="V46" i="36" s="1"/>
  <c r="O47" i="36"/>
  <c r="E109" i="18"/>
  <c r="I109" i="18"/>
  <c r="M109" i="18"/>
  <c r="Q109" i="18"/>
  <c r="H43" i="36"/>
  <c r="J109" i="18"/>
  <c r="AN110" i="18"/>
  <c r="N47" i="36"/>
  <c r="G109" i="18"/>
  <c r="O109" i="18"/>
  <c r="L109" i="18"/>
  <c r="N109" i="18"/>
  <c r="C109" i="18"/>
  <c r="K109" i="18"/>
  <c r="H109" i="18"/>
  <c r="P109" i="18"/>
  <c r="B149" i="18"/>
  <c r="F109" i="18"/>
  <c r="L47" i="36"/>
  <c r="AL110" i="18"/>
  <c r="D46" i="36"/>
  <c r="D33" i="59" l="1"/>
  <c r="D472" i="59" s="1"/>
  <c r="D29" i="59"/>
  <c r="D468" i="59" s="1"/>
  <c r="AE3" i="42"/>
  <c r="Y36" i="18"/>
  <c r="D25" i="59"/>
  <c r="D464" i="59" s="1"/>
  <c r="AH3" i="42"/>
  <c r="X3" i="42"/>
  <c r="D22" i="59"/>
  <c r="D461" i="59" s="1"/>
  <c r="AD3" i="42"/>
  <c r="D23" i="59"/>
  <c r="D462" i="59" s="1"/>
  <c r="AA3" i="42"/>
  <c r="AH36" i="18"/>
  <c r="D24" i="59"/>
  <c r="D463" i="59" s="1"/>
  <c r="Y3" i="42"/>
  <c r="AG3" i="42"/>
  <c r="D28" i="59"/>
  <c r="D467" i="59" s="1"/>
  <c r="D31" i="59"/>
  <c r="D470" i="59" s="1"/>
  <c r="AB36" i="18"/>
  <c r="D27" i="59"/>
  <c r="D466" i="59" s="1"/>
  <c r="AC3" i="42"/>
  <c r="AA36" i="18"/>
  <c r="D26" i="59"/>
  <c r="D465" i="59" s="1"/>
  <c r="AB3" i="42"/>
  <c r="AJ36" i="18"/>
  <c r="D35" i="59"/>
  <c r="D474" i="59" s="1"/>
  <c r="AK3" i="42"/>
  <c r="AJ3" i="42"/>
  <c r="D34" i="59"/>
  <c r="D473" i="59" s="1"/>
  <c r="AI36" i="18"/>
  <c r="AE36" i="18"/>
  <c r="AF3" i="42"/>
  <c r="D30" i="59"/>
  <c r="D469" i="59" s="1"/>
  <c r="V36" i="18"/>
  <c r="D21" i="59"/>
  <c r="D460" i="59" s="1"/>
  <c r="W3" i="42"/>
  <c r="T46" i="36"/>
  <c r="AM16" i="42"/>
  <c r="D297" i="59"/>
  <c r="D736" i="59" s="1"/>
  <c r="AO16" i="42"/>
  <c r="D299" i="59"/>
  <c r="D738" i="59" s="1"/>
  <c r="E93" i="18"/>
  <c r="D93" i="18"/>
  <c r="N93" i="18"/>
  <c r="C93" i="18"/>
  <c r="F93" i="18"/>
  <c r="G93" i="18"/>
  <c r="T93" i="18"/>
  <c r="O93" i="18"/>
  <c r="Q93" i="18"/>
  <c r="I93" i="18"/>
  <c r="K93" i="18"/>
  <c r="L93" i="18"/>
  <c r="H93" i="18"/>
  <c r="J93" i="18"/>
  <c r="P93" i="18"/>
  <c r="S93" i="18"/>
  <c r="M93" i="18"/>
  <c r="D119" i="18"/>
  <c r="V47" i="36" s="1"/>
  <c r="F98" i="18"/>
  <c r="I98" i="18"/>
  <c r="C104" i="18"/>
  <c r="G104" i="18"/>
  <c r="K104" i="18"/>
  <c r="O104" i="18"/>
  <c r="AL105" i="18"/>
  <c r="S109" i="18"/>
  <c r="H44" i="36"/>
  <c r="Q103" i="18" s="1"/>
  <c r="H94" i="18"/>
  <c r="H95" i="18" s="1"/>
  <c r="AA95" i="18" s="1"/>
  <c r="L94" i="18"/>
  <c r="L95" i="18" s="1"/>
  <c r="AE95" i="18" s="1"/>
  <c r="P94" i="18"/>
  <c r="P95" i="18" s="1"/>
  <c r="AI95" i="18" s="1"/>
  <c r="G98" i="18"/>
  <c r="L98" i="18"/>
  <c r="H104" i="18"/>
  <c r="P104" i="18"/>
  <c r="T104" i="18"/>
  <c r="E94" i="18"/>
  <c r="E95" i="18" s="1"/>
  <c r="X95" i="18" s="1"/>
  <c r="I94" i="18"/>
  <c r="I95" i="18" s="1"/>
  <c r="AB95" i="18" s="1"/>
  <c r="M94" i="18"/>
  <c r="M95" i="18" s="1"/>
  <c r="AF95" i="18" s="1"/>
  <c r="Q94" i="18"/>
  <c r="Q95" i="18" s="1"/>
  <c r="AJ95" i="18" s="1"/>
  <c r="C94" i="18"/>
  <c r="C95" i="18" s="1"/>
  <c r="V95" i="18" s="1"/>
  <c r="K94" i="18"/>
  <c r="K95" i="18" s="1"/>
  <c r="AD95" i="18" s="1"/>
  <c r="AL95" i="18"/>
  <c r="J98" i="18"/>
  <c r="E98" i="18"/>
  <c r="T98" i="18"/>
  <c r="I104" i="18"/>
  <c r="Q104" i="18"/>
  <c r="B150" i="18"/>
  <c r="F94" i="18"/>
  <c r="F95" i="18" s="1"/>
  <c r="Y95" i="18" s="1"/>
  <c r="N94" i="18"/>
  <c r="N95" i="18" s="1"/>
  <c r="AG95" i="18" s="1"/>
  <c r="Q98" i="18"/>
  <c r="H98" i="18"/>
  <c r="F104" i="18"/>
  <c r="N104" i="18"/>
  <c r="T109" i="18"/>
  <c r="O94" i="18"/>
  <c r="O95" i="18" s="1"/>
  <c r="AH95" i="18" s="1"/>
  <c r="O98" i="18"/>
  <c r="D98" i="18"/>
  <c r="D95" i="18"/>
  <c r="W95" i="18" s="1"/>
  <c r="S98" i="18"/>
  <c r="N98" i="18"/>
  <c r="L104" i="18"/>
  <c r="H45" i="36"/>
  <c r="N108" i="18" s="1"/>
  <c r="N110" i="18" s="1"/>
  <c r="AG110" i="18" s="1"/>
  <c r="C98" i="18"/>
  <c r="M98" i="18"/>
  <c r="E104" i="18"/>
  <c r="D149" i="18"/>
  <c r="S104" i="18"/>
  <c r="J94" i="18"/>
  <c r="J95" i="18" s="1"/>
  <c r="AC95" i="18" s="1"/>
  <c r="K98" i="18"/>
  <c r="P98" i="18"/>
  <c r="AN105" i="18"/>
  <c r="M104" i="18"/>
  <c r="AN95" i="18"/>
  <c r="J104" i="18"/>
  <c r="G94" i="18"/>
  <c r="G95" i="18" s="1"/>
  <c r="Z95" i="18" s="1"/>
  <c r="F119" i="18"/>
  <c r="J119" i="18"/>
  <c r="N119" i="18"/>
  <c r="L114" i="18"/>
  <c r="Q119" i="18"/>
  <c r="C114" i="18"/>
  <c r="K114" i="18"/>
  <c r="AL115" i="18"/>
  <c r="E114" i="18"/>
  <c r="M114" i="18"/>
  <c r="AN120" i="18"/>
  <c r="F114" i="18"/>
  <c r="J114" i="18"/>
  <c r="N114" i="18"/>
  <c r="AN115" i="18"/>
  <c r="C119" i="18"/>
  <c r="G119" i="18"/>
  <c r="K119" i="18"/>
  <c r="AL120" i="18"/>
  <c r="Q114" i="18"/>
  <c r="I114" i="18"/>
  <c r="H119" i="18"/>
  <c r="L119" i="18"/>
  <c r="P119" i="18"/>
  <c r="H114" i="18"/>
  <c r="P114" i="18"/>
  <c r="E119" i="18"/>
  <c r="I119" i="18"/>
  <c r="M119" i="18"/>
  <c r="G114" i="18"/>
  <c r="O114" i="18"/>
  <c r="O119" i="18"/>
  <c r="D47" i="36"/>
  <c r="Q105" i="18" l="1"/>
  <c r="AJ105" i="18" s="1"/>
  <c r="AK15" i="42" s="1"/>
  <c r="O103" i="18"/>
  <c r="O105" i="18" s="1"/>
  <c r="AH105" i="18" s="1"/>
  <c r="J108" i="18"/>
  <c r="J110" i="18" s="1"/>
  <c r="AC110" i="18" s="1"/>
  <c r="D288" i="59" s="1"/>
  <c r="D727" i="59" s="1"/>
  <c r="D292" i="59"/>
  <c r="D731" i="59" s="1"/>
  <c r="AH16" i="42"/>
  <c r="AM18" i="42"/>
  <c r="D337" i="59"/>
  <c r="D776" i="59" s="1"/>
  <c r="AO17" i="42"/>
  <c r="D319" i="59"/>
  <c r="D758" i="59" s="1"/>
  <c r="AO18" i="42"/>
  <c r="D339" i="59"/>
  <c r="D778" i="59" s="1"/>
  <c r="AO13" i="42"/>
  <c r="D239" i="59"/>
  <c r="D678" i="59" s="1"/>
  <c r="AO15" i="42"/>
  <c r="D279" i="59"/>
  <c r="D718" i="59" s="1"/>
  <c r="AM17" i="42"/>
  <c r="AR17" i="42" s="1"/>
  <c r="AT17" i="42" s="1"/>
  <c r="D317" i="59"/>
  <c r="D756" i="59" s="1"/>
  <c r="AM13" i="42"/>
  <c r="AR13" i="42" s="1"/>
  <c r="AT13" i="42" s="1"/>
  <c r="D237" i="59"/>
  <c r="D676" i="59" s="1"/>
  <c r="AM15" i="42"/>
  <c r="AR15" i="42" s="1"/>
  <c r="AT15" i="42" s="1"/>
  <c r="D277" i="59"/>
  <c r="D716" i="59" s="1"/>
  <c r="AA13" i="42"/>
  <c r="D225" i="59"/>
  <c r="D664" i="59" s="1"/>
  <c r="X13" i="42"/>
  <c r="D222" i="59"/>
  <c r="D661" i="59" s="1"/>
  <c r="Z13" i="42"/>
  <c r="D224" i="59"/>
  <c r="D663" i="59" s="1"/>
  <c r="AE13" i="42"/>
  <c r="D229" i="59"/>
  <c r="D668" i="59" s="1"/>
  <c r="AK13" i="42"/>
  <c r="D235" i="59"/>
  <c r="D674" i="59" s="1"/>
  <c r="AC13" i="42"/>
  <c r="D227" i="59"/>
  <c r="D666" i="59" s="1"/>
  <c r="AJ13" i="42"/>
  <c r="D234" i="59"/>
  <c r="D673" i="59" s="1"/>
  <c r="AB13" i="42"/>
  <c r="D226" i="59"/>
  <c r="D665" i="59" s="1"/>
  <c r="AD13" i="42"/>
  <c r="D228" i="59"/>
  <c r="D667" i="59" s="1"/>
  <c r="AI13" i="42"/>
  <c r="D233" i="59"/>
  <c r="D672" i="59" s="1"/>
  <c r="AH13" i="42"/>
  <c r="D232" i="59"/>
  <c r="D671" i="59" s="1"/>
  <c r="W13" i="42"/>
  <c r="D221" i="59"/>
  <c r="D660" i="59" s="1"/>
  <c r="AG13" i="42"/>
  <c r="D231" i="59"/>
  <c r="D670" i="59" s="1"/>
  <c r="Y13" i="42"/>
  <c r="D223" i="59"/>
  <c r="D662" i="59" s="1"/>
  <c r="AF13" i="42"/>
  <c r="D230" i="59"/>
  <c r="D669" i="59" s="1"/>
  <c r="M103" i="18"/>
  <c r="M105" i="18" s="1"/>
  <c r="AF105" i="18" s="1"/>
  <c r="K103" i="18"/>
  <c r="K105" i="18" s="1"/>
  <c r="AD105" i="18" s="1"/>
  <c r="H108" i="18"/>
  <c r="H110" i="18" s="1"/>
  <c r="AA110" i="18" s="1"/>
  <c r="P103" i="18"/>
  <c r="P105" i="18" s="1"/>
  <c r="AI105" i="18" s="1"/>
  <c r="L103" i="18"/>
  <c r="L105" i="18" s="1"/>
  <c r="AE105" i="18" s="1"/>
  <c r="C103" i="18"/>
  <c r="C105" i="18" s="1"/>
  <c r="V105" i="18" s="1"/>
  <c r="D261" i="59" s="1"/>
  <c r="D700" i="59" s="1"/>
  <c r="D103" i="18"/>
  <c r="D105" i="18" s="1"/>
  <c r="W105" i="18" s="1"/>
  <c r="D262" i="59" s="1"/>
  <c r="D701" i="59" s="1"/>
  <c r="G103" i="18"/>
  <c r="G105" i="18" s="1"/>
  <c r="Z105" i="18" s="1"/>
  <c r="F103" i="18"/>
  <c r="F105" i="18" s="1"/>
  <c r="Y105" i="18" s="1"/>
  <c r="E103" i="18"/>
  <c r="E105" i="18" s="1"/>
  <c r="X105" i="18" s="1"/>
  <c r="S103" i="18"/>
  <c r="S105" i="18" s="1"/>
  <c r="T103" i="18"/>
  <c r="T105" i="18" s="1"/>
  <c r="I103" i="18"/>
  <c r="I105" i="18" s="1"/>
  <c r="AB105" i="18" s="1"/>
  <c r="C108" i="18"/>
  <c r="C110" i="18" s="1"/>
  <c r="V110" i="18" s="1"/>
  <c r="K108" i="18"/>
  <c r="K110" i="18" s="1"/>
  <c r="AD110" i="18" s="1"/>
  <c r="J103" i="18"/>
  <c r="J105" i="18" s="1"/>
  <c r="AC105" i="18" s="1"/>
  <c r="L108" i="18"/>
  <c r="L110" i="18" s="1"/>
  <c r="AE110" i="18" s="1"/>
  <c r="G108" i="18"/>
  <c r="G110" i="18" s="1"/>
  <c r="Z110" i="18" s="1"/>
  <c r="M108" i="18"/>
  <c r="M110" i="18" s="1"/>
  <c r="AF110" i="18" s="1"/>
  <c r="P108" i="18"/>
  <c r="P110" i="18" s="1"/>
  <c r="AI110" i="18" s="1"/>
  <c r="Q108" i="18"/>
  <c r="Q110" i="18" s="1"/>
  <c r="AJ110" i="18" s="1"/>
  <c r="D108" i="18"/>
  <c r="D110" i="18" s="1"/>
  <c r="W110" i="18" s="1"/>
  <c r="E108" i="18"/>
  <c r="E110" i="18" s="1"/>
  <c r="X110" i="18" s="1"/>
  <c r="I108" i="18"/>
  <c r="I110" i="18" s="1"/>
  <c r="AB110" i="18" s="1"/>
  <c r="O108" i="18"/>
  <c r="O110" i="18" s="1"/>
  <c r="AH110" i="18" s="1"/>
  <c r="T108" i="18"/>
  <c r="T110" i="18" s="1"/>
  <c r="N103" i="18"/>
  <c r="N105" i="18" s="1"/>
  <c r="AG105" i="18" s="1"/>
  <c r="S108" i="18"/>
  <c r="S110" i="18" s="1"/>
  <c r="F108" i="18"/>
  <c r="F110" i="18" s="1"/>
  <c r="Y110" i="18" s="1"/>
  <c r="H103" i="18"/>
  <c r="H105" i="18" s="1"/>
  <c r="AA105" i="18" s="1"/>
  <c r="T47" i="36"/>
  <c r="H47" i="36"/>
  <c r="O118" i="18" s="1"/>
  <c r="O120" i="18" s="1"/>
  <c r="AH120" i="18" s="1"/>
  <c r="D150" i="18"/>
  <c r="B152" i="18"/>
  <c r="D100" i="18"/>
  <c r="W100" i="18" s="1"/>
  <c r="L99" i="18"/>
  <c r="L100" i="18" s="1"/>
  <c r="AE100" i="18" s="1"/>
  <c r="C99" i="18"/>
  <c r="C100" i="18" s="1"/>
  <c r="V100" i="18" s="1"/>
  <c r="K99" i="18"/>
  <c r="K100" i="18" s="1"/>
  <c r="AD100" i="18" s="1"/>
  <c r="AL100" i="18"/>
  <c r="I99" i="18"/>
  <c r="I100" i="18" s="1"/>
  <c r="AB100" i="18" s="1"/>
  <c r="T119" i="18"/>
  <c r="B151" i="18"/>
  <c r="AS127" i="18"/>
  <c r="AX130" i="18" s="1"/>
  <c r="AU127" i="18" s="1"/>
  <c r="G49" i="36" s="1"/>
  <c r="K49" i="36" s="1"/>
  <c r="J99" i="18"/>
  <c r="J100" i="18" s="1"/>
  <c r="AC100" i="18" s="1"/>
  <c r="E99" i="18"/>
  <c r="E100" i="18" s="1"/>
  <c r="X100" i="18" s="1"/>
  <c r="F99" i="18"/>
  <c r="F100" i="18" s="1"/>
  <c r="Y100" i="18" s="1"/>
  <c r="M99" i="18"/>
  <c r="M100" i="18" s="1"/>
  <c r="AF100" i="18" s="1"/>
  <c r="S114" i="18"/>
  <c r="S119" i="18"/>
  <c r="T114" i="18"/>
  <c r="H99" i="18"/>
  <c r="H100" i="18" s="1"/>
  <c r="AA100" i="18" s="1"/>
  <c r="P99" i="18"/>
  <c r="P100" i="18" s="1"/>
  <c r="AI100" i="18" s="1"/>
  <c r="G99" i="18"/>
  <c r="G100" i="18" s="1"/>
  <c r="Z100" i="18" s="1"/>
  <c r="O99" i="18"/>
  <c r="O100" i="18" s="1"/>
  <c r="AH100" i="18" s="1"/>
  <c r="AN100" i="18"/>
  <c r="Q99" i="18"/>
  <c r="Q100" i="18" s="1"/>
  <c r="AJ100" i="18" s="1"/>
  <c r="H46" i="36"/>
  <c r="F113" i="18" s="1"/>
  <c r="F115" i="18" s="1"/>
  <c r="Y115" i="18" s="1"/>
  <c r="N99" i="18"/>
  <c r="N100" i="18" s="1"/>
  <c r="AG100" i="18" s="1"/>
  <c r="AS122" i="18"/>
  <c r="AX125" i="18" s="1"/>
  <c r="AU122" i="18" s="1"/>
  <c r="G48" i="36" s="1"/>
  <c r="K48" i="36" s="1"/>
  <c r="D154" i="18"/>
  <c r="AN125" i="18"/>
  <c r="D152" i="18"/>
  <c r="D153" i="18"/>
  <c r="I42" i="36"/>
  <c r="B154" i="18"/>
  <c r="D151" i="18"/>
  <c r="AN130" i="18"/>
  <c r="AL125" i="18"/>
  <c r="AL130" i="18"/>
  <c r="T94" i="18"/>
  <c r="T95" i="18" s="1"/>
  <c r="B153" i="18"/>
  <c r="S94" i="18"/>
  <c r="S95" i="18" s="1"/>
  <c r="S99" i="18"/>
  <c r="S100" i="18" s="1"/>
  <c r="AS132" i="18"/>
  <c r="AX135" i="18" s="1"/>
  <c r="AU132" i="18" s="1"/>
  <c r="G50" i="36" s="1"/>
  <c r="AR16" i="42"/>
  <c r="AT16" i="42" s="1"/>
  <c r="C149" i="18"/>
  <c r="AN135" i="18"/>
  <c r="I46" i="36"/>
  <c r="AL135" i="18"/>
  <c r="T99" i="18"/>
  <c r="T100" i="18" s="1"/>
  <c r="I45" i="36"/>
  <c r="I43" i="36"/>
  <c r="C152" i="18"/>
  <c r="I44" i="36"/>
  <c r="C151" i="18"/>
  <c r="C154" i="18"/>
  <c r="C153" i="18"/>
  <c r="I47" i="36"/>
  <c r="W47" i="36" s="1"/>
  <c r="C150" i="18"/>
  <c r="AX113" i="18"/>
  <c r="AX93" i="18"/>
  <c r="AX112" i="18"/>
  <c r="AX117" i="18"/>
  <c r="AX102" i="18"/>
  <c r="AX107" i="18"/>
  <c r="AX103" i="18"/>
  <c r="AX118" i="18"/>
  <c r="AX92" i="18"/>
  <c r="AR117" i="18"/>
  <c r="AX108" i="18"/>
  <c r="AR97" i="18"/>
  <c r="AR112" i="18"/>
  <c r="AR102" i="18"/>
  <c r="AR107" i="18"/>
  <c r="AR132" i="18"/>
  <c r="AR127" i="18"/>
  <c r="AR92" i="18"/>
  <c r="AR122" i="18"/>
  <c r="W46" i="36"/>
  <c r="W42" i="36"/>
  <c r="W44" i="36"/>
  <c r="W45" i="36"/>
  <c r="W43" i="36"/>
  <c r="D275" i="59" l="1"/>
  <c r="D714" i="59" s="1"/>
  <c r="D272" i="59"/>
  <c r="D711" i="59" s="1"/>
  <c r="AH15" i="42"/>
  <c r="D267" i="59"/>
  <c r="D706" i="59" s="1"/>
  <c r="AC15" i="42"/>
  <c r="D264" i="59"/>
  <c r="D703" i="59" s="1"/>
  <c r="Z15" i="42"/>
  <c r="D270" i="59"/>
  <c r="D709" i="59" s="1"/>
  <c r="AF15" i="42"/>
  <c r="D271" i="59"/>
  <c r="D710" i="59" s="1"/>
  <c r="AG15" i="42"/>
  <c r="D273" i="59"/>
  <c r="D712" i="59" s="1"/>
  <c r="AI15" i="42"/>
  <c r="D266" i="59"/>
  <c r="D705" i="59" s="1"/>
  <c r="AB15" i="42"/>
  <c r="D268" i="59"/>
  <c r="D707" i="59" s="1"/>
  <c r="AD15" i="42"/>
  <c r="D263" i="59"/>
  <c r="D702" i="59" s="1"/>
  <c r="Y15" i="42"/>
  <c r="D265" i="59"/>
  <c r="D704" i="59" s="1"/>
  <c r="AA15" i="42"/>
  <c r="D274" i="59"/>
  <c r="D713" i="59" s="1"/>
  <c r="AJ15" i="42"/>
  <c r="D269" i="59"/>
  <c r="D708" i="59" s="1"/>
  <c r="AE15" i="42"/>
  <c r="W15" i="42"/>
  <c r="X15" i="42"/>
  <c r="AR18" i="42"/>
  <c r="AT18" i="42" s="1"/>
  <c r="AD16" i="42"/>
  <c r="D333" i="59"/>
  <c r="D772" i="59" s="1"/>
  <c r="AI18" i="42"/>
  <c r="D304" i="59"/>
  <c r="D743" i="59" s="1"/>
  <c r="Z17" i="42"/>
  <c r="D284" i="59"/>
  <c r="D723" i="59" s="1"/>
  <c r="Z16" i="42"/>
  <c r="D293" i="59"/>
  <c r="D732" i="59" s="1"/>
  <c r="AI16" i="42"/>
  <c r="D283" i="59"/>
  <c r="D722" i="59" s="1"/>
  <c r="Y16" i="42"/>
  <c r="D295" i="59"/>
  <c r="D734" i="59" s="1"/>
  <c r="AK16" i="42"/>
  <c r="D291" i="59"/>
  <c r="D730" i="59" s="1"/>
  <c r="AG16" i="42"/>
  <c r="D290" i="59"/>
  <c r="D729" i="59" s="1"/>
  <c r="AF16" i="42"/>
  <c r="D289" i="59"/>
  <c r="D728" i="59" s="1"/>
  <c r="AE16" i="42"/>
  <c r="D286" i="59"/>
  <c r="D725" i="59" s="1"/>
  <c r="AB16" i="42"/>
  <c r="D287" i="59"/>
  <c r="D726" i="59" s="1"/>
  <c r="AC16" i="42"/>
  <c r="D282" i="59"/>
  <c r="D721" i="59" s="1"/>
  <c r="X16" i="42"/>
  <c r="D294" i="59"/>
  <c r="D733" i="59" s="1"/>
  <c r="AJ16" i="42"/>
  <c r="D285" i="59"/>
  <c r="D724" i="59" s="1"/>
  <c r="AA16" i="42"/>
  <c r="D281" i="59"/>
  <c r="D720" i="59" s="1"/>
  <c r="W16" i="42"/>
  <c r="AO21" i="42"/>
  <c r="D399" i="59"/>
  <c r="D838" i="59" s="1"/>
  <c r="AM20" i="42"/>
  <c r="D377" i="59"/>
  <c r="D816" i="59" s="1"/>
  <c r="AM14" i="42"/>
  <c r="D257" i="59"/>
  <c r="D696" i="59" s="1"/>
  <c r="AM21" i="42"/>
  <c r="D397" i="59"/>
  <c r="D836" i="59" s="1"/>
  <c r="AO20" i="42"/>
  <c r="D379" i="59"/>
  <c r="D818" i="59" s="1"/>
  <c r="AO19" i="42"/>
  <c r="D359" i="59"/>
  <c r="D798" i="59" s="1"/>
  <c r="AM19" i="42"/>
  <c r="AR19" i="42" s="1"/>
  <c r="AX19" i="42" s="1"/>
  <c r="D357" i="59"/>
  <c r="D796" i="59" s="1"/>
  <c r="AO14" i="42"/>
  <c r="D259" i="59"/>
  <c r="D698" i="59" s="1"/>
  <c r="AH14" i="42"/>
  <c r="D252" i="59"/>
  <c r="D691" i="59" s="1"/>
  <c r="AK14" i="42"/>
  <c r="D255" i="59"/>
  <c r="D694" i="59" s="1"/>
  <c r="AI14" i="42"/>
  <c r="D253" i="59"/>
  <c r="D692" i="59" s="1"/>
  <c r="AJ14" i="42"/>
  <c r="D254" i="59"/>
  <c r="D693" i="59" s="1"/>
  <c r="AG14" i="42"/>
  <c r="D251" i="59"/>
  <c r="D690" i="59" s="1"/>
  <c r="Y14" i="42"/>
  <c r="D243" i="59"/>
  <c r="D682" i="59" s="1"/>
  <c r="W14" i="42"/>
  <c r="D241" i="59"/>
  <c r="D680" i="59" s="1"/>
  <c r="X14" i="42"/>
  <c r="D242" i="59"/>
  <c r="D681" i="59" s="1"/>
  <c r="AA14" i="42"/>
  <c r="D245" i="59"/>
  <c r="D684" i="59" s="1"/>
  <c r="AB14" i="42"/>
  <c r="D246" i="59"/>
  <c r="D685" i="59" s="1"/>
  <c r="Z14" i="42"/>
  <c r="D244" i="59"/>
  <c r="D683" i="59" s="1"/>
  <c r="AD14" i="42"/>
  <c r="D248" i="59"/>
  <c r="D687" i="59" s="1"/>
  <c r="AC14" i="42"/>
  <c r="D247" i="59"/>
  <c r="D686" i="59" s="1"/>
  <c r="AE14" i="42"/>
  <c r="D249" i="59"/>
  <c r="D688" i="59" s="1"/>
  <c r="AF14" i="42"/>
  <c r="D250" i="59"/>
  <c r="D689" i="59" s="1"/>
  <c r="AX98" i="18"/>
  <c r="C49" i="36"/>
  <c r="AX127" i="18"/>
  <c r="AX128" i="18"/>
  <c r="AX97" i="18"/>
  <c r="AX15" i="42"/>
  <c r="T118" i="18"/>
  <c r="T120" i="18" s="1"/>
  <c r="S118" i="18"/>
  <c r="S120" i="18" s="1"/>
  <c r="M118" i="18"/>
  <c r="M120" i="18" s="1"/>
  <c r="AF120" i="18" s="1"/>
  <c r="N113" i="18"/>
  <c r="N115" i="18" s="1"/>
  <c r="AG115" i="18" s="1"/>
  <c r="G113" i="18"/>
  <c r="G115" i="18" s="1"/>
  <c r="Z115" i="18" s="1"/>
  <c r="L118" i="18"/>
  <c r="L120" i="18" s="1"/>
  <c r="AE120" i="18" s="1"/>
  <c r="AX13" i="42"/>
  <c r="J113" i="18"/>
  <c r="J115" i="18" s="1"/>
  <c r="AC115" i="18" s="1"/>
  <c r="H113" i="18"/>
  <c r="H115" i="18" s="1"/>
  <c r="AA115" i="18" s="1"/>
  <c r="D118" i="18"/>
  <c r="D120" i="18" s="1"/>
  <c r="W120" i="18" s="1"/>
  <c r="G118" i="18"/>
  <c r="G120" i="18" s="1"/>
  <c r="Z120" i="18" s="1"/>
  <c r="K50" i="36"/>
  <c r="C50" i="36"/>
  <c r="H118" i="18"/>
  <c r="H120" i="18" s="1"/>
  <c r="AA120" i="18" s="1"/>
  <c r="P118" i="18"/>
  <c r="P120" i="18" s="1"/>
  <c r="AI120" i="18" s="1"/>
  <c r="AX132" i="18"/>
  <c r="AX133" i="18"/>
  <c r="C48" i="36"/>
  <c r="AX17" i="42"/>
  <c r="E113" i="18"/>
  <c r="E115" i="18" s="1"/>
  <c r="X115" i="18" s="1"/>
  <c r="P113" i="18"/>
  <c r="P115" i="18" s="1"/>
  <c r="AI115" i="18" s="1"/>
  <c r="C113" i="18"/>
  <c r="C115" i="18" s="1"/>
  <c r="V115" i="18" s="1"/>
  <c r="D113" i="18"/>
  <c r="D115" i="18" s="1"/>
  <c r="W115" i="18" s="1"/>
  <c r="E118" i="18"/>
  <c r="E120" i="18" s="1"/>
  <c r="X120" i="18" s="1"/>
  <c r="D323" i="59" s="1"/>
  <c r="D762" i="59" s="1"/>
  <c r="F118" i="18"/>
  <c r="F120" i="18" s="1"/>
  <c r="Y120" i="18" s="1"/>
  <c r="N118" i="18"/>
  <c r="N120" i="18" s="1"/>
  <c r="AG120" i="18" s="1"/>
  <c r="C118" i="18"/>
  <c r="C120" i="18" s="1"/>
  <c r="V120" i="18" s="1"/>
  <c r="Q118" i="18"/>
  <c r="Q120" i="18" s="1"/>
  <c r="AJ120" i="18" s="1"/>
  <c r="I118" i="18"/>
  <c r="I120" i="18" s="1"/>
  <c r="AB120" i="18" s="1"/>
  <c r="D327" i="59" s="1"/>
  <c r="D766" i="59" s="1"/>
  <c r="J118" i="18"/>
  <c r="J120" i="18" s="1"/>
  <c r="AC120" i="18" s="1"/>
  <c r="K118" i="18"/>
  <c r="K120" i="18" s="1"/>
  <c r="AD120" i="18" s="1"/>
  <c r="AX123" i="18"/>
  <c r="AX122" i="18"/>
  <c r="AX16" i="42"/>
  <c r="Q113" i="18"/>
  <c r="Q115" i="18" s="1"/>
  <c r="AJ115" i="18" s="1"/>
  <c r="O113" i="18"/>
  <c r="O115" i="18" s="1"/>
  <c r="AH115" i="18" s="1"/>
  <c r="S113" i="18"/>
  <c r="S115" i="18" s="1"/>
  <c r="L113" i="18"/>
  <c r="L115" i="18" s="1"/>
  <c r="AE115" i="18" s="1"/>
  <c r="K113" i="18"/>
  <c r="K115" i="18" s="1"/>
  <c r="AD115" i="18" s="1"/>
  <c r="I113" i="18"/>
  <c r="I115" i="18" s="1"/>
  <c r="AB115" i="18" s="1"/>
  <c r="T113" i="18"/>
  <c r="T115" i="18" s="1"/>
  <c r="M113" i="18"/>
  <c r="M115" i="18" s="1"/>
  <c r="AF115" i="18" s="1"/>
  <c r="AR137" i="18"/>
  <c r="AS86" i="18"/>
  <c r="AX89" i="18" s="1"/>
  <c r="AU86" i="18" s="1"/>
  <c r="G41" i="36" s="1"/>
  <c r="K41" i="36" s="1"/>
  <c r="AL89" i="18"/>
  <c r="AN89" i="18"/>
  <c r="AN90" i="18"/>
  <c r="AL90" i="18"/>
  <c r="AR86" i="18"/>
  <c r="M50" i="36"/>
  <c r="M49" i="36"/>
  <c r="M48" i="36"/>
  <c r="AR21" i="42" l="1"/>
  <c r="AT21" i="42" s="1"/>
  <c r="AX18" i="42"/>
  <c r="D307" i="59"/>
  <c r="D746" i="59" s="1"/>
  <c r="AC17" i="42"/>
  <c r="D313" i="59"/>
  <c r="D752" i="59" s="1"/>
  <c r="AI17" i="42"/>
  <c r="D328" i="59"/>
  <c r="D767" i="59" s="1"/>
  <c r="AD18" i="42"/>
  <c r="D309" i="59"/>
  <c r="D748" i="59" s="1"/>
  <c r="AE17" i="42"/>
  <c r="D315" i="59"/>
  <c r="D754" i="59" s="1"/>
  <c r="AK17" i="42"/>
  <c r="D329" i="59"/>
  <c r="D768" i="59" s="1"/>
  <c r="AE18" i="42"/>
  <c r="D321" i="59"/>
  <c r="D760" i="59" s="1"/>
  <c r="W18" i="42"/>
  <c r="D324" i="59"/>
  <c r="D763" i="59" s="1"/>
  <c r="Z18" i="42"/>
  <c r="D302" i="59"/>
  <c r="D741" i="59" s="1"/>
  <c r="X17" i="42"/>
  <c r="D314" i="59"/>
  <c r="D753" i="59" s="1"/>
  <c r="AJ17" i="42"/>
  <c r="D326" i="59"/>
  <c r="D765" i="59" s="1"/>
  <c r="AB18" i="42"/>
  <c r="D325" i="59"/>
  <c r="D764" i="59" s="1"/>
  <c r="AA18" i="42"/>
  <c r="D306" i="59"/>
  <c r="D745" i="59" s="1"/>
  <c r="AB17" i="42"/>
  <c r="D305" i="59"/>
  <c r="D744" i="59" s="1"/>
  <c r="AA17" i="42"/>
  <c r="D331" i="59"/>
  <c r="D770" i="59" s="1"/>
  <c r="AG18" i="42"/>
  <c r="AC18" i="42"/>
  <c r="Y18" i="42"/>
  <c r="D311" i="59"/>
  <c r="D750" i="59" s="1"/>
  <c r="AG17" i="42"/>
  <c r="D310" i="59"/>
  <c r="D749" i="59" s="1"/>
  <c r="AF17" i="42"/>
  <c r="D335" i="59"/>
  <c r="D774" i="59" s="1"/>
  <c r="AK18" i="42"/>
  <c r="D332" i="59"/>
  <c r="D771" i="59" s="1"/>
  <c r="AH18" i="42"/>
  <c r="D301" i="59"/>
  <c r="D740" i="59" s="1"/>
  <c r="W17" i="42"/>
  <c r="D303" i="59"/>
  <c r="D742" i="59" s="1"/>
  <c r="Y17" i="42"/>
  <c r="D334" i="59"/>
  <c r="D773" i="59" s="1"/>
  <c r="AJ18" i="42"/>
  <c r="D322" i="59"/>
  <c r="D761" i="59" s="1"/>
  <c r="X18" i="42"/>
  <c r="D308" i="59"/>
  <c r="D747" i="59" s="1"/>
  <c r="AD17" i="42"/>
  <c r="D330" i="59"/>
  <c r="D769" i="59" s="1"/>
  <c r="AF18" i="42"/>
  <c r="D312" i="59"/>
  <c r="D751" i="59" s="1"/>
  <c r="AH17" i="42"/>
  <c r="AR20" i="42"/>
  <c r="AX20" i="42" s="1"/>
  <c r="AR14" i="42"/>
  <c r="AT14" i="42" s="1"/>
  <c r="AX21" i="42"/>
  <c r="AM12" i="42"/>
  <c r="AR12" i="42" s="1"/>
  <c r="AT12" i="42" s="1"/>
  <c r="D217" i="59"/>
  <c r="D656" i="59" s="1"/>
  <c r="AO12" i="42"/>
  <c r="D219" i="59"/>
  <c r="D658" i="59" s="1"/>
  <c r="C157" i="18"/>
  <c r="N49" i="36"/>
  <c r="O49" i="36"/>
  <c r="I49" i="36"/>
  <c r="W49" i="36" s="1"/>
  <c r="L49" i="36"/>
  <c r="C156" i="18"/>
  <c r="C41" i="36"/>
  <c r="AT19" i="42"/>
  <c r="L50" i="36"/>
  <c r="I50" i="36"/>
  <c r="W50" i="36" s="1"/>
  <c r="N50" i="36"/>
  <c r="O50" i="36"/>
  <c r="N48" i="36"/>
  <c r="I48" i="36"/>
  <c r="W48" i="36" s="1"/>
  <c r="L48" i="36"/>
  <c r="O48" i="36"/>
  <c r="C155" i="18"/>
  <c r="AX87" i="18"/>
  <c r="AX86" i="18"/>
  <c r="M41" i="36"/>
  <c r="AX14" i="42" l="1"/>
  <c r="AT20" i="42"/>
  <c r="P129" i="18"/>
  <c r="S129" i="18"/>
  <c r="N129" i="18"/>
  <c r="F129" i="18"/>
  <c r="L129" i="18"/>
  <c r="K129" i="18"/>
  <c r="C129" i="18"/>
  <c r="I129" i="18"/>
  <c r="G129" i="18"/>
  <c r="T129" i="18"/>
  <c r="D129" i="18"/>
  <c r="V49" i="36" s="1"/>
  <c r="Q129" i="18"/>
  <c r="O129" i="18"/>
  <c r="H129" i="18"/>
  <c r="E129" i="18"/>
  <c r="J129" i="18"/>
  <c r="M129" i="18"/>
  <c r="E124" i="18"/>
  <c r="L41" i="36"/>
  <c r="I41" i="36"/>
  <c r="N41" i="36"/>
  <c r="O41" i="36"/>
  <c r="C148" i="18"/>
  <c r="N124" i="18"/>
  <c r="G124" i="18"/>
  <c r="O124" i="18"/>
  <c r="T124" i="18"/>
  <c r="S134" i="18"/>
  <c r="Q134" i="18"/>
  <c r="I134" i="18"/>
  <c r="C134" i="18"/>
  <c r="F134" i="18"/>
  <c r="L134" i="18"/>
  <c r="M134" i="18"/>
  <c r="T134" i="18"/>
  <c r="K134" i="18"/>
  <c r="O134" i="18"/>
  <c r="D134" i="18"/>
  <c r="P134" i="18"/>
  <c r="H134" i="18"/>
  <c r="G134" i="18"/>
  <c r="N134" i="18"/>
  <c r="E134" i="18"/>
  <c r="J134" i="18"/>
  <c r="J124" i="18"/>
  <c r="K124" i="18"/>
  <c r="P124" i="18"/>
  <c r="M124" i="18"/>
  <c r="AX12" i="42"/>
  <c r="H124" i="18"/>
  <c r="F124" i="18"/>
  <c r="C124" i="18"/>
  <c r="I124" i="18"/>
  <c r="Q124" i="18"/>
  <c r="L124" i="18"/>
  <c r="S124" i="18"/>
  <c r="D124" i="18"/>
  <c r="D49" i="36"/>
  <c r="W41" i="36"/>
  <c r="V50" i="36" l="1"/>
  <c r="H49" i="36"/>
  <c r="T49" i="36"/>
  <c r="D156" i="18"/>
  <c r="O88" i="18"/>
  <c r="O89" i="18" s="1"/>
  <c r="AH89" i="18" s="1"/>
  <c r="I88" i="18"/>
  <c r="I89" i="18" s="1"/>
  <c r="AB89" i="18" s="1"/>
  <c r="AB90" i="18" s="1"/>
  <c r="D88" i="18"/>
  <c r="D89" i="18" s="1"/>
  <c r="W89" i="18" s="1"/>
  <c r="E88" i="18"/>
  <c r="E89" i="18" s="1"/>
  <c r="X89" i="18" s="1"/>
  <c r="T88" i="18"/>
  <c r="T89" i="18" s="1"/>
  <c r="P88" i="18"/>
  <c r="P89" i="18" s="1"/>
  <c r="AI89" i="18" s="1"/>
  <c r="AI90" i="18" s="1"/>
  <c r="N88" i="18"/>
  <c r="N89" i="18" s="1"/>
  <c r="AG89" i="18" s="1"/>
  <c r="AG90" i="18" s="1"/>
  <c r="C88" i="18"/>
  <c r="C89" i="18" s="1"/>
  <c r="V89" i="18" s="1"/>
  <c r="H88" i="18"/>
  <c r="H89" i="18" s="1"/>
  <c r="AA89" i="18" s="1"/>
  <c r="D206" i="59" s="1"/>
  <c r="D645" i="59" s="1"/>
  <c r="S88" i="18"/>
  <c r="S89" i="18" s="1"/>
  <c r="M88" i="18"/>
  <c r="M89" i="18" s="1"/>
  <c r="AF89" i="18" s="1"/>
  <c r="J88" i="18"/>
  <c r="J89" i="18" s="1"/>
  <c r="AC89" i="18" s="1"/>
  <c r="K88" i="18"/>
  <c r="K89" i="18" s="1"/>
  <c r="AD89" i="18" s="1"/>
  <c r="G88" i="18"/>
  <c r="G89" i="18" s="1"/>
  <c r="Z89" i="18" s="1"/>
  <c r="D205" i="59" s="1"/>
  <c r="D644" i="59" s="1"/>
  <c r="L88" i="18"/>
  <c r="L89" i="18" s="1"/>
  <c r="AE89" i="18" s="1"/>
  <c r="Q88" i="18"/>
  <c r="Q89" i="18" s="1"/>
  <c r="AJ89" i="18" s="1"/>
  <c r="D215" i="59" s="1"/>
  <c r="D654" i="59" s="1"/>
  <c r="F88" i="18"/>
  <c r="F89" i="18" s="1"/>
  <c r="Y89" i="18" s="1"/>
  <c r="V48" i="36"/>
  <c r="D48" i="36"/>
  <c r="Y90" i="18" l="1"/>
  <c r="D204" i="59"/>
  <c r="D643" i="59" s="1"/>
  <c r="AE90" i="18"/>
  <c r="D210" i="59"/>
  <c r="D649" i="59" s="1"/>
  <c r="AE12" i="42"/>
  <c r="D209" i="59"/>
  <c r="D648" i="59" s="1"/>
  <c r="AG12" i="42"/>
  <c r="D211" i="59"/>
  <c r="D650" i="59" s="1"/>
  <c r="AH12" i="42"/>
  <c r="D212" i="59"/>
  <c r="D651" i="59" s="1"/>
  <c r="AC12" i="42"/>
  <c r="D207" i="59"/>
  <c r="D646" i="59" s="1"/>
  <c r="AD12" i="42"/>
  <c r="D208" i="59"/>
  <c r="D647" i="59" s="1"/>
  <c r="W12" i="42"/>
  <c r="D201" i="59"/>
  <c r="D640" i="59" s="1"/>
  <c r="AJ12" i="42"/>
  <c r="D214" i="59"/>
  <c r="D653" i="59" s="1"/>
  <c r="Y12" i="42"/>
  <c r="D203" i="59"/>
  <c r="D642" i="59" s="1"/>
  <c r="X12" i="42"/>
  <c r="D202" i="59"/>
  <c r="D641" i="59" s="1"/>
  <c r="AI12" i="42"/>
  <c r="D213" i="59"/>
  <c r="D652" i="59" s="1"/>
  <c r="D157" i="18"/>
  <c r="G128" i="18"/>
  <c r="G130" i="18" s="1"/>
  <c r="Z130" i="18" s="1"/>
  <c r="M128" i="18"/>
  <c r="M130" i="18" s="1"/>
  <c r="AF130" i="18" s="1"/>
  <c r="Q128" i="18"/>
  <c r="Q130" i="18" s="1"/>
  <c r="AJ130" i="18" s="1"/>
  <c r="S128" i="18"/>
  <c r="S130" i="18" s="1"/>
  <c r="K128" i="18"/>
  <c r="K130" i="18" s="1"/>
  <c r="AD130" i="18" s="1"/>
  <c r="I128" i="18"/>
  <c r="I130" i="18" s="1"/>
  <c r="AB130" i="18" s="1"/>
  <c r="O128" i="18"/>
  <c r="O130" i="18" s="1"/>
  <c r="AH130" i="18" s="1"/>
  <c r="C128" i="18"/>
  <c r="C130" i="18" s="1"/>
  <c r="V130" i="18" s="1"/>
  <c r="P128" i="18"/>
  <c r="P130" i="18" s="1"/>
  <c r="AI130" i="18" s="1"/>
  <c r="N128" i="18"/>
  <c r="N130" i="18" s="1"/>
  <c r="AG130" i="18" s="1"/>
  <c r="D128" i="18"/>
  <c r="D130" i="18" s="1"/>
  <c r="W130" i="18" s="1"/>
  <c r="X20" i="42" s="1"/>
  <c r="J128" i="18"/>
  <c r="J130" i="18" s="1"/>
  <c r="AC130" i="18" s="1"/>
  <c r="T128" i="18"/>
  <c r="T130" i="18" s="1"/>
  <c r="H128" i="18"/>
  <c r="H130" i="18" s="1"/>
  <c r="AA130" i="18" s="1"/>
  <c r="F128" i="18"/>
  <c r="F130" i="18" s="1"/>
  <c r="Y130" i="18" s="1"/>
  <c r="L128" i="18"/>
  <c r="L130" i="18" s="1"/>
  <c r="AE130" i="18" s="1"/>
  <c r="E128" i="18"/>
  <c r="E130" i="18" s="1"/>
  <c r="X130" i="18" s="1"/>
  <c r="V41" i="36"/>
  <c r="D148" i="18" s="1"/>
  <c r="AD90" i="18"/>
  <c r="X90" i="18"/>
  <c r="AC90" i="18"/>
  <c r="AF90" i="18"/>
  <c r="AH90" i="18"/>
  <c r="D155" i="18"/>
  <c r="AF12" i="42"/>
  <c r="W90" i="18"/>
  <c r="Z12" i="42"/>
  <c r="V90" i="18"/>
  <c r="AA90" i="18"/>
  <c r="AB12" i="42"/>
  <c r="AK12" i="42"/>
  <c r="AJ90" i="18"/>
  <c r="AA12" i="42"/>
  <c r="Z90" i="18"/>
  <c r="H48" i="36"/>
  <c r="T48" i="36"/>
  <c r="D50" i="36"/>
  <c r="T50" i="36" l="1"/>
  <c r="H50" i="36"/>
  <c r="D362" i="59"/>
  <c r="D801" i="59" s="1"/>
  <c r="AF20" i="42"/>
  <c r="D370" i="59"/>
  <c r="D809" i="59" s="1"/>
  <c r="AB20" i="42"/>
  <c r="D366" i="59"/>
  <c r="D805" i="59" s="1"/>
  <c r="AD20" i="42"/>
  <c r="D368" i="59"/>
  <c r="D807" i="59" s="1"/>
  <c r="AH20" i="42"/>
  <c r="D372" i="59"/>
  <c r="D811" i="59" s="1"/>
  <c r="W20" i="42"/>
  <c r="D361" i="59"/>
  <c r="D800" i="59" s="1"/>
  <c r="AC20" i="42"/>
  <c r="D367" i="59"/>
  <c r="D806" i="59" s="1"/>
  <c r="AG20" i="42"/>
  <c r="D371" i="59"/>
  <c r="D810" i="59" s="1"/>
  <c r="Y20" i="42"/>
  <c r="D363" i="59"/>
  <c r="D802" i="59" s="1"/>
  <c r="Z20" i="42"/>
  <c r="D364" i="59"/>
  <c r="D803" i="59" s="1"/>
  <c r="AJ20" i="42"/>
  <c r="D374" i="59"/>
  <c r="D813" i="59" s="1"/>
  <c r="AI20" i="42"/>
  <c r="D373" i="59"/>
  <c r="D812" i="59" s="1"/>
  <c r="AE20" i="42"/>
  <c r="D369" i="59"/>
  <c r="D808" i="59" s="1"/>
  <c r="AK20" i="42"/>
  <c r="D375" i="59"/>
  <c r="D814" i="59" s="1"/>
  <c r="AA20" i="42"/>
  <c r="D365" i="59"/>
  <c r="D804" i="59" s="1"/>
  <c r="D41" i="36"/>
  <c r="H41" i="36" s="1"/>
  <c r="G87" i="18" s="1"/>
  <c r="C123" i="18"/>
  <c r="C125" i="18" s="1"/>
  <c r="V125" i="18" s="1"/>
  <c r="O123" i="18"/>
  <c r="O125" i="18" s="1"/>
  <c r="AH125" i="18" s="1"/>
  <c r="G123" i="18"/>
  <c r="G125" i="18" s="1"/>
  <c r="Z125" i="18" s="1"/>
  <c r="K123" i="18"/>
  <c r="K125" i="18" s="1"/>
  <c r="AD125" i="18" s="1"/>
  <c r="Q123" i="18"/>
  <c r="Q125" i="18" s="1"/>
  <c r="AJ125" i="18" s="1"/>
  <c r="I123" i="18"/>
  <c r="I125" i="18" s="1"/>
  <c r="AB125" i="18" s="1"/>
  <c r="P123" i="18"/>
  <c r="P125" i="18" s="1"/>
  <c r="AI125" i="18" s="1"/>
  <c r="L123" i="18"/>
  <c r="L125" i="18" s="1"/>
  <c r="AE125" i="18" s="1"/>
  <c r="S123" i="18"/>
  <c r="S125" i="18" s="1"/>
  <c r="F123" i="18"/>
  <c r="F125" i="18" s="1"/>
  <c r="Y125" i="18" s="1"/>
  <c r="T123" i="18"/>
  <c r="T125" i="18" s="1"/>
  <c r="M123" i="18"/>
  <c r="M125" i="18" s="1"/>
  <c r="AF125" i="18" s="1"/>
  <c r="E123" i="18"/>
  <c r="E125" i="18" s="1"/>
  <c r="X125" i="18" s="1"/>
  <c r="N123" i="18"/>
  <c r="N125" i="18" s="1"/>
  <c r="AG125" i="18" s="1"/>
  <c r="J123" i="18"/>
  <c r="J125" i="18" s="1"/>
  <c r="AC125" i="18" s="1"/>
  <c r="H123" i="18"/>
  <c r="H125" i="18" s="1"/>
  <c r="AA125" i="18" s="1"/>
  <c r="D123" i="18"/>
  <c r="D125" i="18" s="1"/>
  <c r="W125" i="18" s="1"/>
  <c r="P133" i="18" l="1"/>
  <c r="P135" i="18" s="1"/>
  <c r="AI135" i="18" s="1"/>
  <c r="N133" i="18"/>
  <c r="N135" i="18" s="1"/>
  <c r="AG135" i="18" s="1"/>
  <c r="L133" i="18"/>
  <c r="L135" i="18" s="1"/>
  <c r="AE135" i="18" s="1"/>
  <c r="I133" i="18"/>
  <c r="I135" i="18" s="1"/>
  <c r="AB135" i="18" s="1"/>
  <c r="H133" i="18"/>
  <c r="H135" i="18" s="1"/>
  <c r="AA135" i="18" s="1"/>
  <c r="F133" i="18"/>
  <c r="F135" i="18" s="1"/>
  <c r="Y135" i="18" s="1"/>
  <c r="K133" i="18"/>
  <c r="K135" i="18" s="1"/>
  <c r="AD135" i="18" s="1"/>
  <c r="T133" i="18"/>
  <c r="T135" i="18" s="1"/>
  <c r="C133" i="18"/>
  <c r="C135" i="18" s="1"/>
  <c r="V135" i="18" s="1"/>
  <c r="M133" i="18"/>
  <c r="M135" i="18" s="1"/>
  <c r="AF135" i="18" s="1"/>
  <c r="G133" i="18"/>
  <c r="G135" i="18" s="1"/>
  <c r="Z135" i="18" s="1"/>
  <c r="Q133" i="18"/>
  <c r="Q135" i="18" s="1"/>
  <c r="AJ135" i="18" s="1"/>
  <c r="J133" i="18"/>
  <c r="J135" i="18" s="1"/>
  <c r="AC135" i="18" s="1"/>
  <c r="S133" i="18"/>
  <c r="S135" i="18" s="1"/>
  <c r="E133" i="18"/>
  <c r="E135" i="18" s="1"/>
  <c r="X135" i="18" s="1"/>
  <c r="O133" i="18"/>
  <c r="O135" i="18" s="1"/>
  <c r="AH135" i="18" s="1"/>
  <c r="D133" i="18"/>
  <c r="D135" i="18" s="1"/>
  <c r="W135" i="18" s="1"/>
  <c r="D348" i="59"/>
  <c r="D787" i="59" s="1"/>
  <c r="AD19" i="42"/>
  <c r="D354" i="59"/>
  <c r="D793" i="59" s="1"/>
  <c r="AJ19" i="42"/>
  <c r="D355" i="59"/>
  <c r="D794" i="59" s="1"/>
  <c r="AK19" i="42"/>
  <c r="D346" i="59"/>
  <c r="D785" i="59" s="1"/>
  <c r="AB19" i="42"/>
  <c r="D352" i="59"/>
  <c r="D791" i="59" s="1"/>
  <c r="AH19" i="42"/>
  <c r="D351" i="59"/>
  <c r="D790" i="59" s="1"/>
  <c r="AG19" i="42"/>
  <c r="D344" i="59"/>
  <c r="D783" i="59" s="1"/>
  <c r="Z19" i="42"/>
  <c r="D350" i="59"/>
  <c r="D789" i="59" s="1"/>
  <c r="AF19" i="42"/>
  <c r="D347" i="59"/>
  <c r="D786" i="59" s="1"/>
  <c r="AC19" i="42"/>
  <c r="D349" i="59"/>
  <c r="D788" i="59" s="1"/>
  <c r="AE19" i="42"/>
  <c r="D353" i="59"/>
  <c r="D792" i="59" s="1"/>
  <c r="AI19" i="42"/>
  <c r="D342" i="59"/>
  <c r="D781" i="59" s="1"/>
  <c r="X19" i="42"/>
  <c r="D343" i="59"/>
  <c r="D782" i="59" s="1"/>
  <c r="Y19" i="42"/>
  <c r="D345" i="59"/>
  <c r="D784" i="59" s="1"/>
  <c r="AA19" i="42"/>
  <c r="D341" i="59"/>
  <c r="D780" i="59" s="1"/>
  <c r="W19" i="42"/>
  <c r="L87" i="18"/>
  <c r="T87" i="18"/>
  <c r="H87" i="18"/>
  <c r="C87" i="18"/>
  <c r="B148" i="18"/>
  <c r="K87" i="18"/>
  <c r="O87" i="18"/>
  <c r="P87" i="18"/>
  <c r="F87" i="18"/>
  <c r="T41" i="36"/>
  <c r="N87" i="18"/>
  <c r="Q87" i="18"/>
  <c r="J87" i="18"/>
  <c r="I87" i="18"/>
  <c r="S87" i="18"/>
  <c r="D87" i="18"/>
  <c r="E87" i="18"/>
  <c r="M87" i="18"/>
  <c r="AO100" i="47"/>
  <c r="AM77" i="47"/>
  <c r="AO95" i="47"/>
  <c r="AO53" i="47"/>
  <c r="AM89" i="47"/>
  <c r="AO83" i="47"/>
  <c r="AM53" i="47"/>
  <c r="AO29" i="47"/>
  <c r="AM71" i="47"/>
  <c r="AO59" i="47"/>
  <c r="AM29" i="47"/>
  <c r="AM29" i="18"/>
  <c r="AO47" i="47"/>
  <c r="AM35" i="47"/>
  <c r="AM59" i="47"/>
  <c r="AM65" i="47"/>
  <c r="AO77" i="47"/>
  <c r="AO89" i="47"/>
  <c r="AM41" i="47"/>
  <c r="AM47" i="47"/>
  <c r="AO35" i="47"/>
  <c r="AM100" i="47"/>
  <c r="AM83" i="47"/>
  <c r="AO41" i="47"/>
  <c r="AO71" i="47"/>
  <c r="AM95" i="47"/>
  <c r="AO29" i="18"/>
  <c r="AO65" i="47"/>
  <c r="AI21" i="42" l="1"/>
  <c r="D393" i="59"/>
  <c r="D832" i="59" s="1"/>
  <c r="AK21" i="42"/>
  <c r="D395" i="59"/>
  <c r="D834" i="59" s="1"/>
  <c r="AG21" i="42"/>
  <c r="D391" i="59"/>
  <c r="D830" i="59" s="1"/>
  <c r="Z21" i="42"/>
  <c r="D384" i="59"/>
  <c r="D823" i="59" s="1"/>
  <c r="AC21" i="42"/>
  <c r="D387" i="59"/>
  <c r="D826" i="59" s="1"/>
  <c r="AH21" i="42"/>
  <c r="D392" i="59"/>
  <c r="D831" i="59" s="1"/>
  <c r="X21" i="42"/>
  <c r="D382" i="59"/>
  <c r="D821" i="59" s="1"/>
  <c r="Y21" i="42"/>
  <c r="D383" i="59"/>
  <c r="D822" i="59" s="1"/>
  <c r="AD21" i="42"/>
  <c r="D388" i="59"/>
  <c r="D827" i="59" s="1"/>
  <c r="AA21" i="42"/>
  <c r="D385" i="59"/>
  <c r="D824" i="59" s="1"/>
  <c r="W21" i="42"/>
  <c r="D381" i="59"/>
  <c r="D820" i="59" s="1"/>
  <c r="AE21" i="42"/>
  <c r="D389" i="59"/>
  <c r="D828" i="59" s="1"/>
  <c r="AB21" i="42"/>
  <c r="D386" i="59"/>
  <c r="D825" i="59" s="1"/>
  <c r="AF21" i="42"/>
  <c r="D390" i="59"/>
  <c r="D829" i="59" s="1"/>
  <c r="AJ21" i="42"/>
  <c r="D394" i="59"/>
  <c r="D833" i="59" s="1"/>
  <c r="D20" i="59"/>
  <c r="D459" i="59" s="1"/>
  <c r="AN29" i="18"/>
  <c r="D19" i="59" s="1"/>
  <c r="D458" i="59" s="1"/>
  <c r="AO30" i="18"/>
  <c r="AP2" i="42"/>
  <c r="AL29" i="18"/>
  <c r="D17" i="59" s="1"/>
  <c r="D456" i="59" s="1"/>
  <c r="AL71" i="47"/>
  <c r="AN71" i="47"/>
  <c r="AO72" i="47"/>
  <c r="AO42" i="47"/>
  <c r="AL41" i="47"/>
  <c r="AX39" i="47" s="1"/>
  <c r="AN41" i="47"/>
  <c r="AO90" i="47"/>
  <c r="AL89" i="47"/>
  <c r="AX87" i="47" s="1"/>
  <c r="AN89" i="47"/>
  <c r="AO60" i="47"/>
  <c r="AN59" i="47"/>
  <c r="AL59" i="47"/>
  <c r="AX57" i="47" s="1"/>
  <c r="AN29" i="47"/>
  <c r="AO30" i="47"/>
  <c r="AL29" i="47"/>
  <c r="AX27" i="47" s="1"/>
  <c r="AO78" i="47"/>
  <c r="AN77" i="47"/>
  <c r="AL77" i="47"/>
  <c r="AX75" i="47" s="1"/>
  <c r="D18" i="59"/>
  <c r="D457" i="59" s="1"/>
  <c r="AM30" i="18"/>
  <c r="AL30" i="18" s="1"/>
  <c r="AN2" i="42"/>
  <c r="AT26" i="18"/>
  <c r="AV26" i="18" s="1"/>
  <c r="AW26" i="18" s="1"/>
  <c r="AX26" i="18" s="1"/>
  <c r="AS26" i="18"/>
  <c r="AX29" i="18" s="1"/>
  <c r="AU26" i="18" s="1"/>
  <c r="G31" i="36" s="1"/>
  <c r="AM36" i="47"/>
  <c r="AS32" i="47"/>
  <c r="AX35" i="47" s="1"/>
  <c r="AU32" i="47" s="1"/>
  <c r="AR32" i="47"/>
  <c r="AT44" i="47"/>
  <c r="AV44" i="47" s="1"/>
  <c r="AW44" i="47" s="1"/>
  <c r="AM48" i="47"/>
  <c r="AR44" i="47"/>
  <c r="AS44" i="47"/>
  <c r="AX47" i="47" s="1"/>
  <c r="AU44" i="47" s="1"/>
  <c r="AM60" i="47"/>
  <c r="AT56" i="47"/>
  <c r="AV56" i="47" s="1"/>
  <c r="AW56" i="47" s="1"/>
  <c r="AX56" i="47" s="1"/>
  <c r="AS56" i="47"/>
  <c r="AX59" i="47" s="1"/>
  <c r="AU56" i="47" s="1"/>
  <c r="AR56" i="47"/>
  <c r="AM72" i="47"/>
  <c r="AT68" i="47"/>
  <c r="AV68" i="47" s="1"/>
  <c r="AW68" i="47" s="1"/>
  <c r="AS68" i="47"/>
  <c r="AX71" i="47" s="1"/>
  <c r="AU68" i="47" s="1"/>
  <c r="AR68" i="47"/>
  <c r="AM84" i="47"/>
  <c r="AT80" i="47"/>
  <c r="AV80" i="47" s="1"/>
  <c r="AW80" i="47" s="1"/>
  <c r="AS80" i="47"/>
  <c r="AX83" i="47" s="1"/>
  <c r="AU80" i="47" s="1"/>
  <c r="AR80" i="47"/>
  <c r="AT92" i="47"/>
  <c r="AV92" i="47" s="1"/>
  <c r="AW92" i="47" s="1"/>
  <c r="AS92" i="47"/>
  <c r="AX95" i="47" s="1"/>
  <c r="AU92" i="47" s="1"/>
  <c r="AR92" i="47"/>
  <c r="AN47" i="47"/>
  <c r="AO48" i="47"/>
  <c r="AL47" i="47"/>
  <c r="AX45" i="47" s="1"/>
  <c r="AN95" i="47"/>
  <c r="AL95" i="47"/>
  <c r="AX93" i="47" s="1"/>
  <c r="AO66" i="47"/>
  <c r="AN65" i="47"/>
  <c r="AL65" i="47"/>
  <c r="AL35" i="47"/>
  <c r="AX33" i="47" s="1"/>
  <c r="AO36" i="47"/>
  <c r="AN35" i="47"/>
  <c r="AO84" i="47"/>
  <c r="AL84" i="47" s="1"/>
  <c r="AN83" i="47"/>
  <c r="AL83" i="47"/>
  <c r="AX81" i="47" s="1"/>
  <c r="AN53" i="47"/>
  <c r="AL53" i="47"/>
  <c r="AX51" i="47" s="1"/>
  <c r="AO54" i="47"/>
  <c r="AL100" i="47"/>
  <c r="AX98" i="47" s="1"/>
  <c r="AN100" i="47"/>
  <c r="AM30" i="47"/>
  <c r="AT26" i="47"/>
  <c r="AV26" i="47" s="1"/>
  <c r="AW26" i="47" s="1"/>
  <c r="AS26" i="47"/>
  <c r="AX29" i="47" s="1"/>
  <c r="AU26" i="47" s="1"/>
  <c r="AR26" i="47"/>
  <c r="AT38" i="47"/>
  <c r="AV38" i="47" s="1"/>
  <c r="AW38" i="47" s="1"/>
  <c r="AM42" i="47"/>
  <c r="AL42" i="47" s="1"/>
  <c r="AR38" i="47"/>
  <c r="AS38" i="47"/>
  <c r="AX41" i="47" s="1"/>
  <c r="AU38" i="47" s="1"/>
  <c r="AM54" i="47"/>
  <c r="AT50" i="47"/>
  <c r="AV50" i="47" s="1"/>
  <c r="AW50" i="47" s="1"/>
  <c r="AS50" i="47"/>
  <c r="AX53" i="47" s="1"/>
  <c r="AU50" i="47" s="1"/>
  <c r="AR50" i="47"/>
  <c r="AM66" i="47"/>
  <c r="AT62" i="47"/>
  <c r="AV62" i="47" s="1"/>
  <c r="AW62" i="47" s="1"/>
  <c r="AR62" i="47"/>
  <c r="AS62" i="47"/>
  <c r="AX65" i="47" s="1"/>
  <c r="AU62" i="47" s="1"/>
  <c r="AT74" i="47"/>
  <c r="AV74" i="47" s="1"/>
  <c r="AW74" i="47" s="1"/>
  <c r="AM78" i="47"/>
  <c r="AN78" i="47" s="1"/>
  <c r="AR74" i="47"/>
  <c r="AS74" i="47"/>
  <c r="AX77" i="47" s="1"/>
  <c r="AU74" i="47" s="1"/>
  <c r="AM90" i="47"/>
  <c r="AT86" i="47"/>
  <c r="AV86" i="47" s="1"/>
  <c r="AW86" i="47" s="1"/>
  <c r="AS86" i="47"/>
  <c r="AX89" i="47" s="1"/>
  <c r="AU86" i="47" s="1"/>
  <c r="AR86" i="47"/>
  <c r="AT97" i="47"/>
  <c r="AV97" i="47" s="1"/>
  <c r="AW97" i="47" s="1"/>
  <c r="AR97" i="47"/>
  <c r="AS97" i="47"/>
  <c r="AX100" i="47" s="1"/>
  <c r="AU97" i="47" s="1"/>
  <c r="AM2" i="42"/>
  <c r="AR26" i="18"/>
  <c r="AX86" i="47" l="1"/>
  <c r="AN30" i="18"/>
  <c r="AN48" i="47"/>
  <c r="AL30" i="47"/>
  <c r="AX27" i="18"/>
  <c r="AX74" i="47"/>
  <c r="AN30" i="47"/>
  <c r="AL78" i="47"/>
  <c r="AN84" i="47"/>
  <c r="AX50" i="47"/>
  <c r="AX26" i="47"/>
  <c r="AT32" i="47"/>
  <c r="AV32" i="47" s="1"/>
  <c r="AW32" i="47" s="1"/>
  <c r="AX32" i="47" s="1"/>
  <c r="AL54" i="47"/>
  <c r="AL48" i="47"/>
  <c r="AX92" i="47"/>
  <c r="AN60" i="47"/>
  <c r="AX44" i="47"/>
  <c r="AL60" i="47"/>
  <c r="AO2" i="42"/>
  <c r="AR2" i="42" s="1"/>
  <c r="AL36" i="47"/>
  <c r="AN36" i="47"/>
  <c r="AX63" i="47"/>
  <c r="AX62" i="47"/>
  <c r="AL66" i="47"/>
  <c r="AN66" i="47"/>
  <c r="K31" i="36"/>
  <c r="C31" i="36"/>
  <c r="AN90" i="47"/>
  <c r="AL72" i="47"/>
  <c r="AX69" i="47"/>
  <c r="AX68" i="47"/>
  <c r="AX38" i="47"/>
  <c r="AX97" i="47"/>
  <c r="AN72" i="47"/>
  <c r="AX80" i="47"/>
  <c r="AL90" i="47"/>
  <c r="AN54" i="47"/>
  <c r="AN42" i="47"/>
  <c r="M31" i="36"/>
  <c r="W31" i="36"/>
  <c r="C138" i="18" l="1"/>
  <c r="AX2" i="42"/>
  <c r="AT2" i="42"/>
  <c r="AT25" i="42" s="1"/>
  <c r="AT26" i="42"/>
  <c r="L31" i="36"/>
  <c r="I31" i="36"/>
  <c r="O31" i="36"/>
  <c r="N31" i="36"/>
  <c r="AT29" i="42" l="1"/>
  <c r="B28" i="50" s="1"/>
  <c r="T28" i="18"/>
  <c r="S28" i="18"/>
  <c r="Q28" i="18"/>
  <c r="L28" i="18"/>
  <c r="K28" i="18"/>
  <c r="F28" i="18"/>
  <c r="N28" i="18"/>
  <c r="C28" i="18"/>
  <c r="G28" i="18"/>
  <c r="P28" i="18"/>
  <c r="D28" i="18"/>
  <c r="E28" i="18"/>
  <c r="M28" i="18"/>
  <c r="O28" i="18"/>
  <c r="I28" i="18"/>
  <c r="H28" i="18"/>
  <c r="J28" i="18"/>
  <c r="V31" i="36"/>
  <c r="J40" i="46"/>
  <c r="J31" i="46"/>
  <c r="J38" i="46"/>
  <c r="J39" i="46"/>
  <c r="J41" i="46"/>
  <c r="J33" i="46"/>
  <c r="J36" i="46"/>
  <c r="J43" i="46"/>
  <c r="J37" i="46"/>
  <c r="J34" i="46"/>
  <c r="J35" i="46"/>
  <c r="J32" i="46"/>
  <c r="J42" i="46"/>
  <c r="D138" i="18" l="1"/>
  <c r="N35" i="46"/>
  <c r="F35" i="46"/>
  <c r="C108" i="47" s="1"/>
  <c r="F32" i="46"/>
  <c r="C105" i="47" s="1"/>
  <c r="N32" i="46"/>
  <c r="N42" i="46"/>
  <c r="N34" i="46"/>
  <c r="N38" i="46"/>
  <c r="N40" i="46"/>
  <c r="N39" i="46"/>
  <c r="N43" i="46"/>
  <c r="F38" i="46"/>
  <c r="C111" i="47" s="1"/>
  <c r="N36" i="46"/>
  <c r="N33" i="46"/>
  <c r="F31" i="46"/>
  <c r="F41" i="46"/>
  <c r="C114" i="47" s="1"/>
  <c r="F40" i="46"/>
  <c r="C113" i="47" s="1"/>
  <c r="F42" i="46"/>
  <c r="C115" i="47" s="1"/>
  <c r="N31" i="46"/>
  <c r="F34" i="46"/>
  <c r="C107" i="47" s="1"/>
  <c r="F37" i="46"/>
  <c r="C110" i="47" s="1"/>
  <c r="F43" i="46"/>
  <c r="C116" i="47" s="1"/>
  <c r="F33" i="46"/>
  <c r="F39" i="46"/>
  <c r="C112" i="47" s="1"/>
  <c r="N37" i="46"/>
  <c r="N41" i="46"/>
  <c r="F36" i="46"/>
  <c r="C109" i="47" s="1"/>
  <c r="P33" i="46"/>
  <c r="P31" i="46"/>
  <c r="P32" i="46"/>
  <c r="P42" i="46"/>
  <c r="P43" i="46"/>
  <c r="P34" i="46"/>
  <c r="P37" i="46"/>
  <c r="P41" i="46"/>
  <c r="D31" i="36"/>
  <c r="P39" i="46"/>
  <c r="P36" i="46"/>
  <c r="P35" i="46"/>
  <c r="P40" i="46"/>
  <c r="P38" i="46"/>
  <c r="T31" i="36" l="1"/>
  <c r="H31" i="36"/>
  <c r="S27" i="18" s="1"/>
  <c r="S29" i="18" s="1"/>
  <c r="B138" i="18"/>
  <c r="F27" i="18"/>
  <c r="F29" i="18" s="1"/>
  <c r="Y29" i="18" s="1"/>
  <c r="Q32" i="46"/>
  <c r="C106" i="47"/>
  <c r="O33" i="46"/>
  <c r="R32" i="46"/>
  <c r="R33" i="46"/>
  <c r="L31" i="46"/>
  <c r="C104" i="47"/>
  <c r="L33" i="46"/>
  <c r="O31" i="46"/>
  <c r="Q33" i="46"/>
  <c r="Q31" i="46"/>
  <c r="R31" i="46"/>
  <c r="L32" i="46"/>
  <c r="O32" i="46"/>
  <c r="L34" i="46"/>
  <c r="R34" i="46"/>
  <c r="O34" i="46"/>
  <c r="Q34" i="46"/>
  <c r="L42" i="46"/>
  <c r="R42" i="46"/>
  <c r="O42" i="46"/>
  <c r="Q42" i="46"/>
  <c r="L36" i="46"/>
  <c r="Q36" i="46"/>
  <c r="O36" i="46"/>
  <c r="R36" i="46"/>
  <c r="O39" i="46"/>
  <c r="L39" i="46"/>
  <c r="R39" i="46"/>
  <c r="Q39" i="46"/>
  <c r="O35" i="46"/>
  <c r="Q35" i="46"/>
  <c r="L35" i="46"/>
  <c r="R35" i="46"/>
  <c r="R37" i="46"/>
  <c r="O37" i="46"/>
  <c r="Q37" i="46"/>
  <c r="L37" i="46"/>
  <c r="R38" i="46"/>
  <c r="Q38" i="46"/>
  <c r="O38" i="46"/>
  <c r="L38" i="46"/>
  <c r="R41" i="46"/>
  <c r="O41" i="46"/>
  <c r="Q41" i="46"/>
  <c r="L41" i="46"/>
  <c r="L40" i="46"/>
  <c r="O40" i="46"/>
  <c r="R40" i="46"/>
  <c r="Q40" i="46"/>
  <c r="Q43" i="46"/>
  <c r="O43" i="46"/>
  <c r="L43" i="46"/>
  <c r="R43" i="46"/>
  <c r="X11" i="58"/>
  <c r="G42" i="46"/>
  <c r="G37" i="46"/>
  <c r="G38" i="46"/>
  <c r="G34" i="46"/>
  <c r="G31" i="46"/>
  <c r="G35" i="46"/>
  <c r="G33" i="46"/>
  <c r="G40" i="46"/>
  <c r="G39" i="46"/>
  <c r="G43" i="46"/>
  <c r="G32" i="46"/>
  <c r="G36" i="46"/>
  <c r="G41" i="46"/>
  <c r="K27" i="18" l="1"/>
  <c r="K29" i="18" s="1"/>
  <c r="AD29" i="18" s="1"/>
  <c r="D9" i="59" s="1"/>
  <c r="D448" i="59" s="1"/>
  <c r="J27" i="18"/>
  <c r="J29" i="18" s="1"/>
  <c r="AC29" i="18" s="1"/>
  <c r="AC30" i="18" s="1"/>
  <c r="E27" i="18"/>
  <c r="E29" i="18" s="1"/>
  <c r="X29" i="18" s="1"/>
  <c r="D3" i="59" s="1"/>
  <c r="D442" i="59" s="1"/>
  <c r="L27" i="18"/>
  <c r="L29" i="18" s="1"/>
  <c r="AE29" i="18" s="1"/>
  <c r="N27" i="18"/>
  <c r="N29" i="18" s="1"/>
  <c r="AG29" i="18" s="1"/>
  <c r="D12" i="59" s="1"/>
  <c r="D451" i="59" s="1"/>
  <c r="M27" i="18"/>
  <c r="M29" i="18" s="1"/>
  <c r="AF29" i="18" s="1"/>
  <c r="D11" i="59" s="1"/>
  <c r="D450" i="59" s="1"/>
  <c r="O27" i="18"/>
  <c r="O29" i="18" s="1"/>
  <c r="AH29" i="18" s="1"/>
  <c r="D13" i="59" s="1"/>
  <c r="D452" i="59" s="1"/>
  <c r="C27" i="18"/>
  <c r="C29" i="18" s="1"/>
  <c r="V29" i="18" s="1"/>
  <c r="V30" i="18" s="1"/>
  <c r="H27" i="18"/>
  <c r="H29" i="18" s="1"/>
  <c r="AA29" i="18" s="1"/>
  <c r="D6" i="59" s="1"/>
  <c r="D445" i="59" s="1"/>
  <c r="D27" i="18"/>
  <c r="D29" i="18" s="1"/>
  <c r="W29" i="18" s="1"/>
  <c r="Q27" i="18"/>
  <c r="Q29" i="18" s="1"/>
  <c r="AJ29" i="18" s="1"/>
  <c r="D15" i="59" s="1"/>
  <c r="D454" i="59" s="1"/>
  <c r="G27" i="18"/>
  <c r="G29" i="18" s="1"/>
  <c r="Z29" i="18" s="1"/>
  <c r="Z30" i="18" s="1"/>
  <c r="T27" i="18"/>
  <c r="T29" i="18" s="1"/>
  <c r="I27" i="18"/>
  <c r="I29" i="18" s="1"/>
  <c r="AB29" i="18" s="1"/>
  <c r="P27" i="18"/>
  <c r="P29" i="18" s="1"/>
  <c r="AI29" i="18" s="1"/>
  <c r="D14" i="59" s="1"/>
  <c r="D453" i="59" s="1"/>
  <c r="K43" i="46"/>
  <c r="E98" i="47" s="1"/>
  <c r="W43" i="46"/>
  <c r="B116" i="47"/>
  <c r="W37" i="46"/>
  <c r="K37" i="46"/>
  <c r="S63" i="47" s="1"/>
  <c r="B110" i="47"/>
  <c r="B106" i="47"/>
  <c r="K33" i="46"/>
  <c r="D39" i="47" s="1"/>
  <c r="W33" i="46"/>
  <c r="W40" i="46"/>
  <c r="K40" i="46"/>
  <c r="E81" i="47" s="1"/>
  <c r="B113" i="47"/>
  <c r="W35" i="46"/>
  <c r="B108" i="47"/>
  <c r="K35" i="46"/>
  <c r="O51" i="47" s="1"/>
  <c r="W32" i="46"/>
  <c r="K32" i="46"/>
  <c r="I33" i="47" s="1"/>
  <c r="B105" i="47"/>
  <c r="K36" i="46"/>
  <c r="I57" i="47" s="1"/>
  <c r="W36" i="46"/>
  <c r="B109" i="47"/>
  <c r="B111" i="47"/>
  <c r="K38" i="46"/>
  <c r="C69" i="47" s="1"/>
  <c r="W38" i="46"/>
  <c r="B114" i="47"/>
  <c r="K41" i="46"/>
  <c r="E87" i="47" s="1"/>
  <c r="W41" i="46"/>
  <c r="K42" i="46"/>
  <c r="J93" i="47" s="1"/>
  <c r="W42" i="46"/>
  <c r="B115" i="47"/>
  <c r="W34" i="46"/>
  <c r="B107" i="47"/>
  <c r="K34" i="46"/>
  <c r="F45" i="47" s="1"/>
  <c r="W31" i="46"/>
  <c r="B104" i="47"/>
  <c r="K31" i="46"/>
  <c r="M27" i="47" s="1"/>
  <c r="B112" i="47"/>
  <c r="K39" i="46"/>
  <c r="H75" i="47" s="1"/>
  <c r="W39" i="46"/>
  <c r="I40" i="47"/>
  <c r="X2" i="42"/>
  <c r="X18" i="58"/>
  <c r="Y30" i="18"/>
  <c r="D4" i="59"/>
  <c r="D443" i="59" s="1"/>
  <c r="Z2" i="42"/>
  <c r="C40" i="47"/>
  <c r="T40" i="47"/>
  <c r="E40" i="47"/>
  <c r="J28" i="47"/>
  <c r="P40" i="47"/>
  <c r="K40" i="47"/>
  <c r="L40" i="47"/>
  <c r="S34" i="47"/>
  <c r="F28" i="47"/>
  <c r="L28" i="47"/>
  <c r="D34" i="47"/>
  <c r="P34" i="47"/>
  <c r="N40" i="47"/>
  <c r="F34" i="47"/>
  <c r="E34" i="47"/>
  <c r="S40" i="47"/>
  <c r="Q40" i="47"/>
  <c r="J40" i="47"/>
  <c r="G40" i="47"/>
  <c r="H40" i="47"/>
  <c r="G28" i="47"/>
  <c r="D40" i="47"/>
  <c r="F40" i="47"/>
  <c r="M40" i="47"/>
  <c r="K34" i="47"/>
  <c r="I34" i="47"/>
  <c r="C34" i="47"/>
  <c r="N34" i="47"/>
  <c r="O40" i="47"/>
  <c r="D28" i="47"/>
  <c r="O28" i="47"/>
  <c r="J34" i="47"/>
  <c r="O34" i="47"/>
  <c r="Q34" i="47"/>
  <c r="G34" i="47"/>
  <c r="M34" i="47"/>
  <c r="H34" i="47"/>
  <c r="L34" i="47"/>
  <c r="T34" i="47"/>
  <c r="S28" i="47"/>
  <c r="T28" i="47"/>
  <c r="Q28" i="47"/>
  <c r="H28" i="47"/>
  <c r="M28" i="47"/>
  <c r="N28" i="47"/>
  <c r="C28" i="47"/>
  <c r="P28" i="47"/>
  <c r="K28" i="47"/>
  <c r="I28" i="47"/>
  <c r="E28" i="47"/>
  <c r="G99" i="47"/>
  <c r="I70" i="47"/>
  <c r="I71" i="47" s="1"/>
  <c r="AB71" i="47" s="1"/>
  <c r="AB72" i="47" s="1"/>
  <c r="D70" i="47"/>
  <c r="D71" i="47" s="1"/>
  <c r="W71" i="47" s="1"/>
  <c r="W72" i="47" s="1"/>
  <c r="K99" i="47"/>
  <c r="N82" i="47"/>
  <c r="T70" i="47"/>
  <c r="T71" i="47" s="1"/>
  <c r="L64" i="47"/>
  <c r="L65" i="47" s="1"/>
  <c r="AE65" i="47" s="1"/>
  <c r="AE66" i="47" s="1"/>
  <c r="E76" i="47"/>
  <c r="E77" i="47" s="1"/>
  <c r="X77" i="47" s="1"/>
  <c r="X78" i="47" s="1"/>
  <c r="C58" i="47"/>
  <c r="C59" i="47" s="1"/>
  <c r="V59" i="47" s="1"/>
  <c r="V60" i="47" s="1"/>
  <c r="H46" i="47"/>
  <c r="G64" i="47"/>
  <c r="G65" i="47" s="1"/>
  <c r="Z65" i="47" s="1"/>
  <c r="Z66" i="47" s="1"/>
  <c r="I58" i="47"/>
  <c r="I59" i="47" s="1"/>
  <c r="AB59" i="47" s="1"/>
  <c r="AB60" i="47" s="1"/>
  <c r="N58" i="47"/>
  <c r="N59" i="47" s="1"/>
  <c r="AG59" i="47" s="1"/>
  <c r="AG60" i="47" s="1"/>
  <c r="G46" i="47"/>
  <c r="F70" i="47"/>
  <c r="F71" i="47" s="1"/>
  <c r="Y71" i="47" s="1"/>
  <c r="Y72" i="47" s="1"/>
  <c r="N64" i="47"/>
  <c r="N65" i="47" s="1"/>
  <c r="AG65" i="47" s="1"/>
  <c r="AG66" i="47" s="1"/>
  <c r="Q99" i="47"/>
  <c r="S70" i="47"/>
  <c r="S71" i="47" s="1"/>
  <c r="S76" i="47"/>
  <c r="S77" i="47" s="1"/>
  <c r="O64" i="47"/>
  <c r="O65" i="47" s="1"/>
  <c r="AH65" i="47" s="1"/>
  <c r="AH66" i="47" s="1"/>
  <c r="J76" i="47"/>
  <c r="J77" i="47" s="1"/>
  <c r="AC77" i="47" s="1"/>
  <c r="AC78" i="47" s="1"/>
  <c r="H99" i="47"/>
  <c r="J46" i="47"/>
  <c r="C64" i="47"/>
  <c r="C65" i="47" s="1"/>
  <c r="V65" i="47" s="1"/>
  <c r="V66" i="47" s="1"/>
  <c r="D99" i="47"/>
  <c r="C82" i="47"/>
  <c r="O99" i="47"/>
  <c r="I99" i="47"/>
  <c r="T99" i="47"/>
  <c r="H76" i="47"/>
  <c r="H77" i="47" s="1"/>
  <c r="AA77" i="47" s="1"/>
  <c r="AA78" i="47" s="1"/>
  <c r="L99" i="47"/>
  <c r="L82" i="47"/>
  <c r="C70" i="47"/>
  <c r="C71" i="47" s="1"/>
  <c r="V71" i="47" s="1"/>
  <c r="V72" i="47" s="1"/>
  <c r="F64" i="47"/>
  <c r="F65" i="47" s="1"/>
  <c r="Y65" i="47" s="1"/>
  <c r="Y66" i="47" s="1"/>
  <c r="C76" i="47"/>
  <c r="C77" i="47" s="1"/>
  <c r="V77" i="47" s="1"/>
  <c r="V78" i="47" s="1"/>
  <c r="O58" i="47"/>
  <c r="O59" i="47" s="1"/>
  <c r="AH59" i="47" s="1"/>
  <c r="AH60" i="47" s="1"/>
  <c r="J94" i="47"/>
  <c r="D46" i="47"/>
  <c r="Y34" i="46" s="1"/>
  <c r="K82" i="47"/>
  <c r="N46" i="47"/>
  <c r="Q58" i="47"/>
  <c r="Q59" i="47" s="1"/>
  <c r="AJ59" i="47" s="1"/>
  <c r="AJ60" i="47" s="1"/>
  <c r="K64" i="47"/>
  <c r="K65" i="47" s="1"/>
  <c r="AD65" i="47" s="1"/>
  <c r="AD66" i="47" s="1"/>
  <c r="K58" i="47"/>
  <c r="K59" i="47" s="1"/>
  <c r="AD59" i="47" s="1"/>
  <c r="AD60" i="47" s="1"/>
  <c r="O46" i="47"/>
  <c r="D82" i="47"/>
  <c r="Q82" i="47"/>
  <c r="P94" i="47"/>
  <c r="K70" i="47"/>
  <c r="K71" i="47" s="1"/>
  <c r="AD71" i="47" s="1"/>
  <c r="AD72" i="47" s="1"/>
  <c r="S58" i="47"/>
  <c r="S59" i="47" s="1"/>
  <c r="J58" i="47"/>
  <c r="J59" i="47" s="1"/>
  <c r="AC59" i="47" s="1"/>
  <c r="AC60" i="47" s="1"/>
  <c r="I82" i="47"/>
  <c r="O82" i="47"/>
  <c r="K46" i="47"/>
  <c r="M82" i="47"/>
  <c r="H70" i="47"/>
  <c r="H71" i="47" s="1"/>
  <c r="AA71" i="47" s="1"/>
  <c r="AA72" i="47" s="1"/>
  <c r="E46" i="47"/>
  <c r="P76" i="47"/>
  <c r="P77" i="47" s="1"/>
  <c r="AI77" i="47" s="1"/>
  <c r="AI78" i="47" s="1"/>
  <c r="J99" i="47"/>
  <c r="T82" i="47"/>
  <c r="O70" i="47"/>
  <c r="O71" i="47" s="1"/>
  <c r="AH71" i="47" s="1"/>
  <c r="AH72" i="47" s="1"/>
  <c r="J64" i="47"/>
  <c r="J65" i="47" s="1"/>
  <c r="AC65" i="47" s="1"/>
  <c r="AC66" i="47" s="1"/>
  <c r="L76" i="47"/>
  <c r="L77" i="47" s="1"/>
  <c r="AE77" i="47" s="1"/>
  <c r="AE78" i="47" s="1"/>
  <c r="G58" i="47"/>
  <c r="G59" i="47" s="1"/>
  <c r="Z59" i="47" s="1"/>
  <c r="Z60" i="47" s="1"/>
  <c r="L94" i="47"/>
  <c r="P46" i="47"/>
  <c r="P82" i="47"/>
  <c r="L58" i="47"/>
  <c r="L59" i="47" s="1"/>
  <c r="AE59" i="47" s="1"/>
  <c r="AE60" i="47" s="1"/>
  <c r="D58" i="47"/>
  <c r="D59" i="47" s="1"/>
  <c r="W59" i="47" s="1"/>
  <c r="W60" i="47" s="1"/>
  <c r="C46" i="47"/>
  <c r="T64" i="47"/>
  <c r="T65" i="47" s="1"/>
  <c r="Q64" i="47"/>
  <c r="Q65" i="47" s="1"/>
  <c r="AJ65" i="47" s="1"/>
  <c r="AJ66" i="47" s="1"/>
  <c r="E64" i="47"/>
  <c r="E65" i="47" s="1"/>
  <c r="X65" i="47" s="1"/>
  <c r="X66" i="47" s="1"/>
  <c r="H82" i="47"/>
  <c r="F58" i="47"/>
  <c r="F59" i="47" s="1"/>
  <c r="Y59" i="47" s="1"/>
  <c r="Y60" i="47" s="1"/>
  <c r="J82" i="47"/>
  <c r="I46" i="47"/>
  <c r="S46" i="47"/>
  <c r="C94" i="47"/>
  <c r="M46" i="47"/>
  <c r="T46" i="47"/>
  <c r="M58" i="47"/>
  <c r="M59" i="47" s="1"/>
  <c r="AF59" i="47" s="1"/>
  <c r="AF60" i="47" s="1"/>
  <c r="C99" i="47"/>
  <c r="F94" i="47"/>
  <c r="S94" i="47"/>
  <c r="Q94" i="47"/>
  <c r="H94" i="47"/>
  <c r="N94" i="47"/>
  <c r="E99" i="47"/>
  <c r="G94" i="47"/>
  <c r="P99" i="47"/>
  <c r="S99" i="47"/>
  <c r="S82" i="47"/>
  <c r="I64" i="47"/>
  <c r="I65" i="47" s="1"/>
  <c r="AB65" i="47" s="1"/>
  <c r="AB66" i="47" s="1"/>
  <c r="M70" i="47"/>
  <c r="M71" i="47" s="1"/>
  <c r="AF71" i="47" s="1"/>
  <c r="AF72" i="47" s="1"/>
  <c r="L70" i="47"/>
  <c r="L71" i="47" s="1"/>
  <c r="AE71" i="47" s="1"/>
  <c r="AE72" i="47" s="1"/>
  <c r="G70" i="47"/>
  <c r="G71" i="47" s="1"/>
  <c r="Z71" i="47" s="1"/>
  <c r="Z72" i="47" s="1"/>
  <c r="P58" i="47"/>
  <c r="P59" i="47" s="1"/>
  <c r="AI59" i="47" s="1"/>
  <c r="AI60" i="47" s="1"/>
  <c r="N76" i="47"/>
  <c r="N77" i="47" s="1"/>
  <c r="AG77" i="47" s="1"/>
  <c r="AG78" i="47" s="1"/>
  <c r="F82" i="47"/>
  <c r="G76" i="47"/>
  <c r="G77" i="47" s="1"/>
  <c r="Z77" i="47" s="1"/>
  <c r="Z78" i="47" s="1"/>
  <c r="M76" i="47"/>
  <c r="M77" i="47" s="1"/>
  <c r="AF77" i="47" s="1"/>
  <c r="AF78" i="47" s="1"/>
  <c r="Q46" i="47"/>
  <c r="H58" i="47"/>
  <c r="H59" i="47" s="1"/>
  <c r="AA59" i="47" s="1"/>
  <c r="AA60" i="47" s="1"/>
  <c r="D94" i="47"/>
  <c r="T76" i="47"/>
  <c r="T77" i="47" s="1"/>
  <c r="K76" i="47"/>
  <c r="K77" i="47" s="1"/>
  <c r="AD77" i="47" s="1"/>
  <c r="AD78" i="47" s="1"/>
  <c r="E58" i="47"/>
  <c r="E59" i="47" s="1"/>
  <c r="X59" i="47" s="1"/>
  <c r="X60" i="47" s="1"/>
  <c r="P64" i="47"/>
  <c r="P65" i="47" s="1"/>
  <c r="AI65" i="47" s="1"/>
  <c r="AI66" i="47" s="1"/>
  <c r="D76" i="47"/>
  <c r="F99" i="47"/>
  <c r="M99" i="47"/>
  <c r="O76" i="47"/>
  <c r="O77" i="47" s="1"/>
  <c r="AH77" i="47" s="1"/>
  <c r="AH78" i="47" s="1"/>
  <c r="F76" i="47"/>
  <c r="F77" i="47" s="1"/>
  <c r="Y77" i="47" s="1"/>
  <c r="Y78" i="47" s="1"/>
  <c r="Q76" i="47"/>
  <c r="Q77" i="47" s="1"/>
  <c r="AJ77" i="47" s="1"/>
  <c r="AJ78" i="47" s="1"/>
  <c r="I76" i="47"/>
  <c r="I77" i="47" s="1"/>
  <c r="AB77" i="47" s="1"/>
  <c r="AB78" i="47" s="1"/>
  <c r="N99" i="47"/>
  <c r="E82" i="47"/>
  <c r="G82" i="47"/>
  <c r="S88" i="47"/>
  <c r="O88" i="47"/>
  <c r="C88" i="47"/>
  <c r="Q88" i="47"/>
  <c r="M88" i="47"/>
  <c r="I88" i="47"/>
  <c r="P88" i="47"/>
  <c r="E88" i="47"/>
  <c r="F88" i="47"/>
  <c r="L88" i="47"/>
  <c r="T88" i="47"/>
  <c r="H88" i="47"/>
  <c r="K88" i="47"/>
  <c r="J88" i="47"/>
  <c r="D88" i="47"/>
  <c r="N88" i="47"/>
  <c r="G88" i="47"/>
  <c r="Q70" i="47"/>
  <c r="Q71" i="47" s="1"/>
  <c r="AJ71" i="47" s="1"/>
  <c r="AJ72" i="47" s="1"/>
  <c r="E70" i="47"/>
  <c r="E71" i="47" s="1"/>
  <c r="X71" i="47" s="1"/>
  <c r="X72" i="47" s="1"/>
  <c r="N70" i="47"/>
  <c r="N71" i="47" s="1"/>
  <c r="AG71" i="47" s="1"/>
  <c r="AG72" i="47" s="1"/>
  <c r="J70" i="47"/>
  <c r="J71" i="47" s="1"/>
  <c r="AC71" i="47" s="1"/>
  <c r="AC72" i="47" s="1"/>
  <c r="P70" i="47"/>
  <c r="P71" i="47" s="1"/>
  <c r="AI71" i="47" s="1"/>
  <c r="AI72" i="47" s="1"/>
  <c r="H64" i="47"/>
  <c r="H65" i="47" s="1"/>
  <c r="AA65" i="47" s="1"/>
  <c r="AA66" i="47" s="1"/>
  <c r="S64" i="47"/>
  <c r="S65" i="47" s="1"/>
  <c r="D64" i="47"/>
  <c r="M64" i="47"/>
  <c r="M65" i="47" s="1"/>
  <c r="AF65" i="47" s="1"/>
  <c r="AF66" i="47" s="1"/>
  <c r="P52" i="47"/>
  <c r="I52" i="47"/>
  <c r="C52" i="47"/>
  <c r="L52" i="47"/>
  <c r="G52" i="47"/>
  <c r="M52" i="47"/>
  <c r="K52" i="47"/>
  <c r="D52" i="47"/>
  <c r="J52" i="47"/>
  <c r="T52" i="47"/>
  <c r="H52" i="47"/>
  <c r="O52" i="47"/>
  <c r="O53" i="47" s="1"/>
  <c r="AH53" i="47" s="1"/>
  <c r="AH54" i="47" s="1"/>
  <c r="Q52" i="47"/>
  <c r="S52" i="47"/>
  <c r="E52" i="47"/>
  <c r="N52" i="47"/>
  <c r="N53" i="47" s="1"/>
  <c r="AG53" i="47" s="1"/>
  <c r="AG54" i="47" s="1"/>
  <c r="F52" i="47"/>
  <c r="T58" i="47"/>
  <c r="T59" i="47" s="1"/>
  <c r="T94" i="47"/>
  <c r="E94" i="47"/>
  <c r="O94" i="47"/>
  <c r="I94" i="47"/>
  <c r="M94" i="47"/>
  <c r="K94" i="47"/>
  <c r="L46" i="47"/>
  <c r="F46" i="47"/>
  <c r="Y38" i="46"/>
  <c r="D111" i="47" s="1"/>
  <c r="W11" i="58"/>
  <c r="V11" i="58"/>
  <c r="U11" i="58"/>
  <c r="Y11" i="58" s="1"/>
  <c r="T11" i="58"/>
  <c r="R11" i="58"/>
  <c r="Y33" i="46"/>
  <c r="K15" i="58"/>
  <c r="P16" i="58"/>
  <c r="T16" i="58"/>
  <c r="W12" i="58"/>
  <c r="H16" i="58"/>
  <c r="S13" i="58"/>
  <c r="M14" i="58"/>
  <c r="P13" i="58"/>
  <c r="U12" i="58"/>
  <c r="N14" i="58"/>
  <c r="O12" i="58"/>
  <c r="R12" i="58"/>
  <c r="U15" i="58"/>
  <c r="E13" i="58"/>
  <c r="E11" i="58"/>
  <c r="P14" i="58"/>
  <c r="G16" i="58"/>
  <c r="O14" i="58"/>
  <c r="N15" i="58"/>
  <c r="L15" i="58"/>
  <c r="G13" i="58"/>
  <c r="F12" i="58"/>
  <c r="G14" i="58"/>
  <c r="J14" i="58"/>
  <c r="M16" i="58"/>
  <c r="U16" i="58"/>
  <c r="M13" i="58"/>
  <c r="Q11" i="58"/>
  <c r="Y31" i="46"/>
  <c r="K16" i="58"/>
  <c r="L12" i="58"/>
  <c r="Q13" i="58"/>
  <c r="H15" i="58"/>
  <c r="L14" i="58"/>
  <c r="E12" i="58"/>
  <c r="F14" i="58"/>
  <c r="I11" i="58"/>
  <c r="T14" i="58"/>
  <c r="G11" i="58"/>
  <c r="E14" i="58"/>
  <c r="J13" i="58"/>
  <c r="L11" i="58"/>
  <c r="J12" i="58"/>
  <c r="I16" i="58"/>
  <c r="O15" i="58"/>
  <c r="F15" i="58"/>
  <c r="E16" i="58"/>
  <c r="V13" i="58"/>
  <c r="J15" i="58"/>
  <c r="V12" i="58"/>
  <c r="L13" i="58"/>
  <c r="H13" i="58"/>
  <c r="I14" i="58"/>
  <c r="T13" i="58"/>
  <c r="R16" i="58"/>
  <c r="M12" i="58"/>
  <c r="Y32" i="46"/>
  <c r="S11" i="58"/>
  <c r="F11" i="58"/>
  <c r="V16" i="58"/>
  <c r="M11" i="58"/>
  <c r="K13" i="58"/>
  <c r="S12" i="58"/>
  <c r="F13" i="58"/>
  <c r="W14" i="58"/>
  <c r="W16" i="58"/>
  <c r="R14" i="58"/>
  <c r="T12" i="58"/>
  <c r="Q14" i="58"/>
  <c r="V14" i="58"/>
  <c r="S14" i="58"/>
  <c r="N16" i="58"/>
  <c r="Q15" i="58"/>
  <c r="P15" i="58"/>
  <c r="G12" i="58"/>
  <c r="P12" i="58"/>
  <c r="N11" i="58"/>
  <c r="I12" i="58"/>
  <c r="H12" i="58"/>
  <c r="R15" i="58"/>
  <c r="Q12" i="58"/>
  <c r="V15" i="58"/>
  <c r="G15" i="58"/>
  <c r="J16" i="58"/>
  <c r="X14" i="58"/>
  <c r="P11" i="58"/>
  <c r="O11" i="58"/>
  <c r="H11" i="58"/>
  <c r="U14" i="58"/>
  <c r="Q16" i="58"/>
  <c r="O16" i="58"/>
  <c r="X16" i="58"/>
  <c r="S16" i="58"/>
  <c r="W13" i="58"/>
  <c r="R13" i="58"/>
  <c r="N13" i="58"/>
  <c r="N12" i="58"/>
  <c r="F16" i="58"/>
  <c r="W15" i="58"/>
  <c r="K12" i="58"/>
  <c r="J11" i="58"/>
  <c r="K11" i="58"/>
  <c r="I13" i="58"/>
  <c r="H14" i="58"/>
  <c r="O13" i="58"/>
  <c r="E15" i="58"/>
  <c r="K14" i="58"/>
  <c r="S15" i="58"/>
  <c r="U13" i="58"/>
  <c r="T15" i="58"/>
  <c r="L16" i="58"/>
  <c r="I15" i="58"/>
  <c r="M15" i="58"/>
  <c r="N51" i="47" l="1"/>
  <c r="AH2" i="42"/>
  <c r="T63" i="47"/>
  <c r="AF30" i="18"/>
  <c r="M93" i="47"/>
  <c r="M95" i="47" s="1"/>
  <c r="AF95" i="47" s="1"/>
  <c r="AD30" i="18"/>
  <c r="I98" i="47"/>
  <c r="I100" i="47" s="1"/>
  <c r="AB100" i="47" s="1"/>
  <c r="D8" i="59"/>
  <c r="D447" i="59" s="1"/>
  <c r="T57" i="47"/>
  <c r="T98" i="47"/>
  <c r="T100" i="47" s="1"/>
  <c r="AD2" i="42"/>
  <c r="AE2" i="42"/>
  <c r="S51" i="47"/>
  <c r="S53" i="47" s="1"/>
  <c r="I69" i="47"/>
  <c r="O63" i="47"/>
  <c r="I39" i="47"/>
  <c r="I41" i="47" s="1"/>
  <c r="AB41" i="47" s="1"/>
  <c r="AB42" i="47" s="1"/>
  <c r="AH30" i="18"/>
  <c r="N75" i="47"/>
  <c r="H27" i="47"/>
  <c r="H29" i="47" s="1"/>
  <c r="AA29" i="47" s="1"/>
  <c r="AA30" i="47" s="1"/>
  <c r="T87" i="47"/>
  <c r="T89" i="47" s="1"/>
  <c r="P69" i="47"/>
  <c r="C57" i="47"/>
  <c r="E45" i="47"/>
  <c r="F33" i="47"/>
  <c r="F35" i="47" s="1"/>
  <c r="Y35" i="47" s="1"/>
  <c r="Y36" i="47" s="1"/>
  <c r="J81" i="47"/>
  <c r="S75" i="47"/>
  <c r="D27" i="47"/>
  <c r="D29" i="47" s="1"/>
  <c r="W29" i="47" s="1"/>
  <c r="W30" i="47" s="1"/>
  <c r="K87" i="47"/>
  <c r="K89" i="47" s="1"/>
  <c r="AD89" i="47" s="1"/>
  <c r="AD90" i="47" s="1"/>
  <c r="L93" i="47"/>
  <c r="L95" i="47" s="1"/>
  <c r="AE95" i="47" s="1"/>
  <c r="L39" i="47"/>
  <c r="L41" i="47" s="1"/>
  <c r="AE41" i="47" s="1"/>
  <c r="AE42" i="47" s="1"/>
  <c r="Q51" i="47"/>
  <c r="E69" i="47"/>
  <c r="E57" i="47"/>
  <c r="O98" i="47"/>
  <c r="O100" i="47" s="1"/>
  <c r="AH100" i="47" s="1"/>
  <c r="H63" i="47"/>
  <c r="Q63" i="47"/>
  <c r="N81" i="47"/>
  <c r="AA2" i="42"/>
  <c r="D1" i="59"/>
  <c r="D440" i="59" s="1"/>
  <c r="E100" i="47"/>
  <c r="X100" i="47" s="1"/>
  <c r="S33" i="47"/>
  <c r="S35" i="47" s="1"/>
  <c r="F47" i="47"/>
  <c r="Y47" i="47" s="1"/>
  <c r="Y48" i="47" s="1"/>
  <c r="J75" i="47"/>
  <c r="D75" i="47"/>
  <c r="J27" i="47"/>
  <c r="J29" i="47" s="1"/>
  <c r="AC29" i="47" s="1"/>
  <c r="AC30" i="47" s="1"/>
  <c r="O27" i="47"/>
  <c r="O29" i="47" s="1"/>
  <c r="AH29" i="47" s="1"/>
  <c r="AH30" i="47" s="1"/>
  <c r="C87" i="47"/>
  <c r="C89" i="47" s="1"/>
  <c r="V89" i="47" s="1"/>
  <c r="V90" i="47" s="1"/>
  <c r="O87" i="47"/>
  <c r="O89" i="47" s="1"/>
  <c r="AH89" i="47" s="1"/>
  <c r="AH90" i="47" s="1"/>
  <c r="Q93" i="47"/>
  <c r="Q95" i="47" s="1"/>
  <c r="AJ95" i="47" s="1"/>
  <c r="O39" i="47"/>
  <c r="O41" i="47" s="1"/>
  <c r="AH41" i="47" s="1"/>
  <c r="AH42" i="47" s="1"/>
  <c r="AI30" i="18"/>
  <c r="AK2" i="42"/>
  <c r="X30" i="18"/>
  <c r="K75" i="47"/>
  <c r="Q75" i="47"/>
  <c r="O75" i="47"/>
  <c r="L75" i="47"/>
  <c r="G75" i="47"/>
  <c r="K27" i="47"/>
  <c r="K29" i="47" s="1"/>
  <c r="AD29" i="47" s="1"/>
  <c r="AD30" i="47" s="1"/>
  <c r="I27" i="47"/>
  <c r="I29" i="47" s="1"/>
  <c r="AB29" i="47" s="1"/>
  <c r="AB30" i="47" s="1"/>
  <c r="S27" i="47"/>
  <c r="S29" i="47" s="1"/>
  <c r="L27" i="47"/>
  <c r="L29" i="47" s="1"/>
  <c r="AE29" i="47" s="1"/>
  <c r="AE30" i="47" s="1"/>
  <c r="P87" i="47"/>
  <c r="P89" i="47" s="1"/>
  <c r="AI89" i="47" s="1"/>
  <c r="AI90" i="47" s="1"/>
  <c r="D87" i="47"/>
  <c r="D89" i="47" s="1"/>
  <c r="W89" i="47" s="1"/>
  <c r="W90" i="47" s="1"/>
  <c r="N87" i="47"/>
  <c r="N89" i="47" s="1"/>
  <c r="AG89" i="47" s="1"/>
  <c r="AG90" i="47" s="1"/>
  <c r="F87" i="47"/>
  <c r="F89" i="47" s="1"/>
  <c r="Y89" i="47" s="1"/>
  <c r="Y90" i="47" s="1"/>
  <c r="C93" i="47"/>
  <c r="C95" i="47" s="1"/>
  <c r="V95" i="47" s="1"/>
  <c r="K93" i="47"/>
  <c r="K95" i="47" s="1"/>
  <c r="AD95" i="47" s="1"/>
  <c r="K39" i="47"/>
  <c r="K41" i="47" s="1"/>
  <c r="AD41" i="47" s="1"/>
  <c r="AD42" i="47" s="1"/>
  <c r="J39" i="47"/>
  <c r="J41" i="47" s="1"/>
  <c r="AC41" i="47" s="1"/>
  <c r="AC42" i="47" s="1"/>
  <c r="Q39" i="47"/>
  <c r="Q41" i="47" s="1"/>
  <c r="AJ41" i="47" s="1"/>
  <c r="AQ38" i="47" s="1"/>
  <c r="BA41" i="47" s="1"/>
  <c r="AJ2" i="42"/>
  <c r="AJ30" i="18"/>
  <c r="AA30" i="18"/>
  <c r="AI2" i="42"/>
  <c r="AG30" i="18"/>
  <c r="E89" i="47"/>
  <c r="X89" i="47" s="1"/>
  <c r="X90" i="47" s="1"/>
  <c r="M75" i="47"/>
  <c r="I75" i="47"/>
  <c r="T75" i="47"/>
  <c r="P75" i="47"/>
  <c r="C75" i="47"/>
  <c r="F75" i="47"/>
  <c r="E75" i="47"/>
  <c r="N27" i="47"/>
  <c r="N29" i="47" s="1"/>
  <c r="AG29" i="47" s="1"/>
  <c r="AG30" i="47" s="1"/>
  <c r="Q27" i="47"/>
  <c r="Q29" i="47" s="1"/>
  <c r="AJ29" i="47" s="1"/>
  <c r="AJ30" i="47" s="1"/>
  <c r="P27" i="47"/>
  <c r="P29" i="47" s="1"/>
  <c r="AI29" i="47" s="1"/>
  <c r="AI30" i="47" s="1"/>
  <c r="E27" i="47"/>
  <c r="E29" i="47" s="1"/>
  <c r="X29" i="47" s="1"/>
  <c r="X30" i="47" s="1"/>
  <c r="G27" i="47"/>
  <c r="G29" i="47" s="1"/>
  <c r="Z29" i="47" s="1"/>
  <c r="Z30" i="47" s="1"/>
  <c r="T27" i="47"/>
  <c r="T29" i="47" s="1"/>
  <c r="F27" i="47"/>
  <c r="F29" i="47" s="1"/>
  <c r="Y29" i="47" s="1"/>
  <c r="Y30" i="47" s="1"/>
  <c r="C27" i="47"/>
  <c r="C29" i="47" s="1"/>
  <c r="V29" i="47" s="1"/>
  <c r="V30" i="47" s="1"/>
  <c r="S87" i="47"/>
  <c r="S89" i="47" s="1"/>
  <c r="I87" i="47"/>
  <c r="G87" i="47"/>
  <c r="G89" i="47" s="1"/>
  <c r="Z89" i="47" s="1"/>
  <c r="Z90" i="47" s="1"/>
  <c r="L87" i="47"/>
  <c r="L89" i="47" s="1"/>
  <c r="AE89" i="47" s="1"/>
  <c r="AE90" i="47" s="1"/>
  <c r="J87" i="47"/>
  <c r="J89" i="47" s="1"/>
  <c r="AC89" i="47" s="1"/>
  <c r="AC90" i="47" s="1"/>
  <c r="M87" i="47"/>
  <c r="M89" i="47" s="1"/>
  <c r="AF89" i="47" s="1"/>
  <c r="AF90" i="47" s="1"/>
  <c r="H87" i="47"/>
  <c r="H89" i="47" s="1"/>
  <c r="AA89" i="47" s="1"/>
  <c r="AA90" i="47" s="1"/>
  <c r="Q87" i="47"/>
  <c r="Q89" i="47" s="1"/>
  <c r="AJ89" i="47" s="1"/>
  <c r="AJ90" i="47" s="1"/>
  <c r="N93" i="47"/>
  <c r="N95" i="47" s="1"/>
  <c r="AG95" i="47" s="1"/>
  <c r="D93" i="47"/>
  <c r="D95" i="47" s="1"/>
  <c r="W95" i="47" s="1"/>
  <c r="H93" i="47"/>
  <c r="H95" i="47" s="1"/>
  <c r="AA95" i="47" s="1"/>
  <c r="T93" i="47"/>
  <c r="T95" i="47" s="1"/>
  <c r="S93" i="47"/>
  <c r="S95" i="47" s="1"/>
  <c r="G39" i="47"/>
  <c r="G41" i="47" s="1"/>
  <c r="Z41" i="47" s="1"/>
  <c r="Z42" i="47" s="1"/>
  <c r="M39" i="47"/>
  <c r="M41" i="47" s="1"/>
  <c r="AF41" i="47" s="1"/>
  <c r="AF42" i="47" s="1"/>
  <c r="E39" i="47"/>
  <c r="E41" i="47" s="1"/>
  <c r="X41" i="47" s="1"/>
  <c r="X42" i="47" s="1"/>
  <c r="C39" i="47"/>
  <c r="C41" i="47" s="1"/>
  <c r="V41" i="47" s="1"/>
  <c r="V42" i="47" s="1"/>
  <c r="T39" i="47"/>
  <c r="T41" i="47" s="1"/>
  <c r="N39" i="47"/>
  <c r="N41" i="47" s="1"/>
  <c r="AG41" i="47" s="1"/>
  <c r="AG42" i="47" s="1"/>
  <c r="AB2" i="42"/>
  <c r="Y2" i="42"/>
  <c r="I89" i="47"/>
  <c r="AB89" i="47" s="1"/>
  <c r="AB90" i="47" s="1"/>
  <c r="J95" i="47"/>
  <c r="AC95" i="47" s="1"/>
  <c r="E93" i="47"/>
  <c r="E95" i="47" s="1"/>
  <c r="X95" i="47" s="1"/>
  <c r="I93" i="47"/>
  <c r="I95" i="47" s="1"/>
  <c r="AB95" i="47" s="1"/>
  <c r="O93" i="47"/>
  <c r="O95" i="47" s="1"/>
  <c r="AH95" i="47" s="1"/>
  <c r="G93" i="47"/>
  <c r="G95" i="47" s="1"/>
  <c r="Z95" i="47" s="1"/>
  <c r="F93" i="47"/>
  <c r="F95" i="47" s="1"/>
  <c r="Y95" i="47" s="1"/>
  <c r="P93" i="47"/>
  <c r="P95" i="47" s="1"/>
  <c r="AI95" i="47" s="1"/>
  <c r="P39" i="47"/>
  <c r="P41" i="47" s="1"/>
  <c r="AI41" i="47" s="1"/>
  <c r="AI42" i="47" s="1"/>
  <c r="F39" i="47"/>
  <c r="F41" i="47" s="1"/>
  <c r="Y41" i="47" s="1"/>
  <c r="Y42" i="47" s="1"/>
  <c r="S39" i="47"/>
  <c r="H39" i="47"/>
  <c r="H41" i="47" s="1"/>
  <c r="AA41" i="47" s="1"/>
  <c r="AA42" i="47" s="1"/>
  <c r="S41" i="47"/>
  <c r="Q45" i="47"/>
  <c r="Q47" i="47" s="1"/>
  <c r="AJ47" i="47" s="1"/>
  <c r="AJ48" i="47" s="1"/>
  <c r="T45" i="47"/>
  <c r="T47" i="47" s="1"/>
  <c r="S45" i="47"/>
  <c r="S47" i="47" s="1"/>
  <c r="N45" i="47"/>
  <c r="N47" i="47" s="1"/>
  <c r="AG47" i="47" s="1"/>
  <c r="AG48" i="47" s="1"/>
  <c r="J45" i="47"/>
  <c r="J47" i="47" s="1"/>
  <c r="AC47" i="47" s="1"/>
  <c r="AC48" i="47" s="1"/>
  <c r="S69" i="47"/>
  <c r="F69" i="47"/>
  <c r="G69" i="47"/>
  <c r="O69" i="47"/>
  <c r="M69" i="47"/>
  <c r="T69" i="47"/>
  <c r="H69" i="47"/>
  <c r="J69" i="47"/>
  <c r="L57" i="47"/>
  <c r="Q57" i="47"/>
  <c r="H57" i="47"/>
  <c r="O57" i="47"/>
  <c r="F57" i="47"/>
  <c r="S57" i="47"/>
  <c r="N57" i="47"/>
  <c r="G57" i="47"/>
  <c r="D33" i="47"/>
  <c r="D35" i="47" s="1"/>
  <c r="W35" i="47" s="1"/>
  <c r="W36" i="47" s="1"/>
  <c r="M33" i="47"/>
  <c r="M35" i="47" s="1"/>
  <c r="AF35" i="47" s="1"/>
  <c r="AF36" i="47" s="1"/>
  <c r="C33" i="47"/>
  <c r="C35" i="47" s="1"/>
  <c r="V35" i="47" s="1"/>
  <c r="V36" i="47" s="1"/>
  <c r="N33" i="47"/>
  <c r="N35" i="47" s="1"/>
  <c r="AG35" i="47" s="1"/>
  <c r="AG36" i="47" s="1"/>
  <c r="O33" i="47"/>
  <c r="O35" i="47" s="1"/>
  <c r="AH35" i="47" s="1"/>
  <c r="AH36" i="47" s="1"/>
  <c r="D51" i="47"/>
  <c r="D53" i="47" s="1"/>
  <c r="W53" i="47" s="1"/>
  <c r="W54" i="47" s="1"/>
  <c r="E51" i="47"/>
  <c r="E53" i="47" s="1"/>
  <c r="X53" i="47" s="1"/>
  <c r="X54" i="47" s="1"/>
  <c r="J51" i="47"/>
  <c r="J53" i="47" s="1"/>
  <c r="AC53" i="47" s="1"/>
  <c r="AC54" i="47" s="1"/>
  <c r="F51" i="47"/>
  <c r="F53" i="47" s="1"/>
  <c r="Y53" i="47" s="1"/>
  <c r="Y54" i="47" s="1"/>
  <c r="G51" i="47"/>
  <c r="G53" i="47" s="1"/>
  <c r="Z53" i="47" s="1"/>
  <c r="Z54" i="47" s="1"/>
  <c r="K51" i="47"/>
  <c r="K53" i="47" s="1"/>
  <c r="AD53" i="47" s="1"/>
  <c r="AD54" i="47" s="1"/>
  <c r="T51" i="47"/>
  <c r="T53" i="47" s="1"/>
  <c r="C51" i="47"/>
  <c r="C53" i="47" s="1"/>
  <c r="V53" i="47" s="1"/>
  <c r="V54" i="47" s="1"/>
  <c r="M51" i="47"/>
  <c r="M53" i="47" s="1"/>
  <c r="AF53" i="47" s="1"/>
  <c r="AF54" i="47" s="1"/>
  <c r="L81" i="47"/>
  <c r="D81" i="47"/>
  <c r="D83" i="47" s="1"/>
  <c r="W83" i="47" s="1"/>
  <c r="W84" i="47" s="1"/>
  <c r="C81" i="47"/>
  <c r="C83" i="47" s="1"/>
  <c r="V83" i="47" s="1"/>
  <c r="V84" i="47" s="1"/>
  <c r="P81" i="47"/>
  <c r="P83" i="47" s="1"/>
  <c r="AI83" i="47" s="1"/>
  <c r="AI84" i="47" s="1"/>
  <c r="G81" i="47"/>
  <c r="G83" i="47" s="1"/>
  <c r="Z83" i="47" s="1"/>
  <c r="Z84" i="47" s="1"/>
  <c r="E63" i="47"/>
  <c r="J63" i="47"/>
  <c r="M63" i="47"/>
  <c r="G63" i="47"/>
  <c r="C63" i="47"/>
  <c r="F63" i="47"/>
  <c r="P63" i="47"/>
  <c r="K63" i="47"/>
  <c r="N98" i="47"/>
  <c r="N100" i="47" s="1"/>
  <c r="AG100" i="47" s="1"/>
  <c r="D98" i="47"/>
  <c r="D100" i="47" s="1"/>
  <c r="W100" i="47" s="1"/>
  <c r="G98" i="47"/>
  <c r="G100" i="47" s="1"/>
  <c r="Z100" i="47" s="1"/>
  <c r="J98" i="47"/>
  <c r="J100" i="47" s="1"/>
  <c r="AC100" i="47" s="1"/>
  <c r="H98" i="47"/>
  <c r="H100" i="47" s="1"/>
  <c r="AA100" i="47" s="1"/>
  <c r="F98" i="47"/>
  <c r="F100" i="47" s="1"/>
  <c r="Y100" i="47" s="1"/>
  <c r="S98" i="47"/>
  <c r="S100" i="47" s="1"/>
  <c r="P98" i="47"/>
  <c r="P100" i="47" s="1"/>
  <c r="AI100" i="47" s="1"/>
  <c r="L98" i="47"/>
  <c r="L100" i="47" s="1"/>
  <c r="AE100" i="47" s="1"/>
  <c r="D7" i="59"/>
  <c r="D446" i="59" s="1"/>
  <c r="AC2" i="42"/>
  <c r="D2" i="59"/>
  <c r="D441" i="59" s="1"/>
  <c r="W30" i="18"/>
  <c r="D10" i="59"/>
  <c r="D449" i="59" s="1"/>
  <c r="AF2" i="42"/>
  <c r="Q53" i="47"/>
  <c r="AJ53" i="47" s="1"/>
  <c r="AJ54" i="47" s="1"/>
  <c r="H51" i="47"/>
  <c r="H53" i="47" s="1"/>
  <c r="AA53" i="47" s="1"/>
  <c r="AA54" i="47" s="1"/>
  <c r="P51" i="47"/>
  <c r="P53" i="47" s="1"/>
  <c r="AI53" i="47" s="1"/>
  <c r="AI54" i="47" s="1"/>
  <c r="I51" i="47"/>
  <c r="I53" i="47" s="1"/>
  <c r="AB53" i="47" s="1"/>
  <c r="AB54" i="47" s="1"/>
  <c r="L51" i="47"/>
  <c r="L53" i="47" s="1"/>
  <c r="AE53" i="47" s="1"/>
  <c r="AE54" i="47" s="1"/>
  <c r="N69" i="47"/>
  <c r="Q69" i="47"/>
  <c r="D69" i="47"/>
  <c r="L69" i="47"/>
  <c r="K69" i="47"/>
  <c r="P57" i="47"/>
  <c r="J57" i="47"/>
  <c r="D57" i="47"/>
  <c r="K57" i="47"/>
  <c r="M57" i="47"/>
  <c r="M98" i="47"/>
  <c r="M100" i="47" s="1"/>
  <c r="AF100" i="47" s="1"/>
  <c r="Q98" i="47"/>
  <c r="Q100" i="47" s="1"/>
  <c r="AJ100" i="47" s="1"/>
  <c r="K98" i="47"/>
  <c r="K100" i="47" s="1"/>
  <c r="AD100" i="47" s="1"/>
  <c r="C98" i="47"/>
  <c r="C100" i="47" s="1"/>
  <c r="V100" i="47" s="1"/>
  <c r="M45" i="47"/>
  <c r="M47" i="47" s="1"/>
  <c r="AF47" i="47" s="1"/>
  <c r="AF48" i="47" s="1"/>
  <c r="G45" i="47"/>
  <c r="G47" i="47" s="1"/>
  <c r="Z47" i="47" s="1"/>
  <c r="Z48" i="47" s="1"/>
  <c r="N63" i="47"/>
  <c r="D63" i="47"/>
  <c r="L63" i="47"/>
  <c r="I63" i="47"/>
  <c r="G33" i="47"/>
  <c r="G35" i="47" s="1"/>
  <c r="Z35" i="47" s="1"/>
  <c r="Z36" i="47" s="1"/>
  <c r="J33" i="47"/>
  <c r="J35" i="47" s="1"/>
  <c r="AC35" i="47" s="1"/>
  <c r="AC36" i="47" s="1"/>
  <c r="M81" i="47"/>
  <c r="M83" i="47" s="1"/>
  <c r="AF83" i="47" s="1"/>
  <c r="AF84" i="47" s="1"/>
  <c r="F81" i="47"/>
  <c r="AB30" i="18"/>
  <c r="D5" i="59"/>
  <c r="D444" i="59" s="1"/>
  <c r="W2" i="42"/>
  <c r="AE30" i="18"/>
  <c r="AG2" i="42"/>
  <c r="E83" i="47"/>
  <c r="X83" i="47" s="1"/>
  <c r="X84" i="47" s="1"/>
  <c r="F83" i="47"/>
  <c r="Y83" i="47" s="1"/>
  <c r="Y84" i="47" s="1"/>
  <c r="J83" i="47"/>
  <c r="AC83" i="47" s="1"/>
  <c r="AC84" i="47" s="1"/>
  <c r="N83" i="47"/>
  <c r="AG83" i="47" s="1"/>
  <c r="AG84" i="47" s="1"/>
  <c r="Y43" i="46"/>
  <c r="D116" i="47" s="1"/>
  <c r="E47" i="47"/>
  <c r="X47" i="47" s="1"/>
  <c r="X48" i="47" s="1"/>
  <c r="L83" i="47"/>
  <c r="AE83" i="47" s="1"/>
  <c r="AE84" i="47" s="1"/>
  <c r="I35" i="47"/>
  <c r="AB35" i="47" s="1"/>
  <c r="AB36" i="47" s="1"/>
  <c r="H45" i="47"/>
  <c r="H47" i="47" s="1"/>
  <c r="AA47" i="47" s="1"/>
  <c r="AA48" i="47" s="1"/>
  <c r="C45" i="47"/>
  <c r="C47" i="47" s="1"/>
  <c r="V47" i="47" s="1"/>
  <c r="V48" i="47" s="1"/>
  <c r="I45" i="47"/>
  <c r="I47" i="47" s="1"/>
  <c r="AB47" i="47" s="1"/>
  <c r="AB48" i="47" s="1"/>
  <c r="D45" i="47"/>
  <c r="D47" i="47" s="1"/>
  <c r="W47" i="47" s="1"/>
  <c r="W48" i="47" s="1"/>
  <c r="L45" i="47"/>
  <c r="O45" i="47"/>
  <c r="O47" i="47" s="1"/>
  <c r="AH47" i="47" s="1"/>
  <c r="AH48" i="47" s="1"/>
  <c r="K45" i="47"/>
  <c r="K47" i="47" s="1"/>
  <c r="AD47" i="47" s="1"/>
  <c r="AD48" i="47" s="1"/>
  <c r="P45" i="47"/>
  <c r="P47" i="47" s="1"/>
  <c r="AI47" i="47" s="1"/>
  <c r="AI48" i="47" s="1"/>
  <c r="L33" i="47"/>
  <c r="L35" i="47" s="1"/>
  <c r="AE35" i="47" s="1"/>
  <c r="AE36" i="47" s="1"/>
  <c r="P33" i="47"/>
  <c r="P35" i="47" s="1"/>
  <c r="AI35" i="47" s="1"/>
  <c r="AI36" i="47" s="1"/>
  <c r="K33" i="47"/>
  <c r="K35" i="47" s="1"/>
  <c r="AD35" i="47" s="1"/>
  <c r="AD36" i="47" s="1"/>
  <c r="H33" i="47"/>
  <c r="H35" i="47" s="1"/>
  <c r="AA35" i="47" s="1"/>
  <c r="AA36" i="47" s="1"/>
  <c r="E33" i="47"/>
  <c r="E35" i="47" s="1"/>
  <c r="X35" i="47" s="1"/>
  <c r="X36" i="47" s="1"/>
  <c r="Q33" i="47"/>
  <c r="Q35" i="47" s="1"/>
  <c r="AJ35" i="47" s="1"/>
  <c r="AJ36" i="47" s="1"/>
  <c r="T33" i="47"/>
  <c r="T35" i="47" s="1"/>
  <c r="O81" i="47"/>
  <c r="O83" i="47" s="1"/>
  <c r="AH83" i="47" s="1"/>
  <c r="AH84" i="47" s="1"/>
  <c r="S81" i="47"/>
  <c r="S83" i="47" s="1"/>
  <c r="H81" i="47"/>
  <c r="H83" i="47" s="1"/>
  <c r="AA83" i="47" s="1"/>
  <c r="AA84" i="47" s="1"/>
  <c r="T81" i="47"/>
  <c r="T83" i="47" s="1"/>
  <c r="K81" i="47"/>
  <c r="K83" i="47" s="1"/>
  <c r="AD83" i="47" s="1"/>
  <c r="AD84" i="47" s="1"/>
  <c r="I81" i="47"/>
  <c r="I83" i="47" s="1"/>
  <c r="AB83" i="47" s="1"/>
  <c r="AB84" i="47" s="1"/>
  <c r="Q81" i="47"/>
  <c r="Q83" i="47" s="1"/>
  <c r="AJ83" i="47" s="1"/>
  <c r="AJ84" i="47" s="1"/>
  <c r="L47" i="47"/>
  <c r="AE47" i="47" s="1"/>
  <c r="AE48" i="47" s="1"/>
  <c r="D107" i="47"/>
  <c r="M29" i="47"/>
  <c r="AF29" i="47" s="1"/>
  <c r="AF30" i="47" s="1"/>
  <c r="D105" i="47"/>
  <c r="D106" i="47"/>
  <c r="D41" i="47"/>
  <c r="W41" i="47" s="1"/>
  <c r="W42" i="47" s="1"/>
  <c r="D104" i="47"/>
  <c r="Y18" i="58"/>
  <c r="AA11" i="58"/>
  <c r="Y40" i="46"/>
  <c r="D113" i="47" s="1"/>
  <c r="Y36" i="46"/>
  <c r="D109" i="47" s="1"/>
  <c r="Y42" i="46"/>
  <c r="D115" i="47" s="1"/>
  <c r="Y39" i="46"/>
  <c r="D112" i="47" s="1"/>
  <c r="D77" i="47"/>
  <c r="W77" i="47" s="1"/>
  <c r="W78" i="47" s="1"/>
  <c r="X23" i="58"/>
  <c r="W23" i="58"/>
  <c r="V23" i="58"/>
  <c r="U23" i="58"/>
  <c r="T23" i="58"/>
  <c r="S23" i="58"/>
  <c r="R23" i="58"/>
  <c r="Q23" i="58"/>
  <c r="P23" i="58"/>
  <c r="E23" i="58"/>
  <c r="I23" i="58"/>
  <c r="M23" i="58"/>
  <c r="H23" i="58"/>
  <c r="L23" i="58"/>
  <c r="O23" i="58"/>
  <c r="G23" i="58"/>
  <c r="K23" i="58"/>
  <c r="F23" i="58"/>
  <c r="J23" i="58"/>
  <c r="N23" i="58"/>
  <c r="Y37" i="46"/>
  <c r="D110" i="47" s="1"/>
  <c r="D65" i="47"/>
  <c r="W65" i="47" s="1"/>
  <c r="W66" i="47" s="1"/>
  <c r="Y41" i="46"/>
  <c r="D114" i="47" s="1"/>
  <c r="X21" i="58"/>
  <c r="V21" i="58"/>
  <c r="U21" i="58"/>
  <c r="V19" i="58"/>
  <c r="S21" i="58"/>
  <c r="Q22" i="58"/>
  <c r="S20" i="58"/>
  <c r="R18" i="58"/>
  <c r="P21" i="58"/>
  <c r="O20" i="58"/>
  <c r="K20" i="58"/>
  <c r="N20" i="58"/>
  <c r="F20" i="58"/>
  <c r="H21" i="58"/>
  <c r="I21" i="58"/>
  <c r="H18" i="58"/>
  <c r="E19" i="58"/>
  <c r="M19" i="58"/>
  <c r="L22" i="58"/>
  <c r="G18" i="58"/>
  <c r="F19" i="58"/>
  <c r="T22" i="58"/>
  <c r="U20" i="58"/>
  <c r="S22" i="58"/>
  <c r="U19" i="58"/>
  <c r="U18" i="58"/>
  <c r="T18" i="58"/>
  <c r="S19" i="58"/>
  <c r="Q21" i="58"/>
  <c r="Q20" i="58"/>
  <c r="Q19" i="58"/>
  <c r="P19" i="58"/>
  <c r="G20" i="58"/>
  <c r="J20" i="58"/>
  <c r="O19" i="58"/>
  <c r="L21" i="58"/>
  <c r="M21" i="58"/>
  <c r="E21" i="58"/>
  <c r="L18" i="58"/>
  <c r="I19" i="58"/>
  <c r="H22" i="58"/>
  <c r="K18" i="58"/>
  <c r="J19" i="58"/>
  <c r="N19" i="58"/>
  <c r="G22" i="58"/>
  <c r="K22" i="58"/>
  <c r="W22" i="58"/>
  <c r="V22" i="58"/>
  <c r="W21" i="58"/>
  <c r="U22" i="58"/>
  <c r="W20" i="58"/>
  <c r="V20" i="58"/>
  <c r="W19" i="58"/>
  <c r="W18" i="58"/>
  <c r="V18" i="58"/>
  <c r="T21" i="58"/>
  <c r="R22" i="58"/>
  <c r="T20" i="58"/>
  <c r="R21" i="58"/>
  <c r="T19" i="58"/>
  <c r="R20" i="58"/>
  <c r="P22" i="58"/>
  <c r="S18" i="58"/>
  <c r="R19" i="58"/>
  <c r="O22" i="58"/>
  <c r="P20" i="58"/>
  <c r="O21" i="58"/>
  <c r="Q18" i="58"/>
  <c r="P18" i="58"/>
  <c r="M20" i="58"/>
  <c r="I20" i="58"/>
  <c r="E20" i="58"/>
  <c r="L20" i="58"/>
  <c r="H20" i="58"/>
  <c r="O18" i="58"/>
  <c r="N21" i="58"/>
  <c r="J21" i="58"/>
  <c r="F21" i="58"/>
  <c r="K21" i="58"/>
  <c r="G21" i="58"/>
  <c r="F18" i="58"/>
  <c r="J18" i="58"/>
  <c r="N18" i="58"/>
  <c r="G19" i="58"/>
  <c r="K19" i="58"/>
  <c r="F22" i="58"/>
  <c r="J22" i="58"/>
  <c r="N22" i="58"/>
  <c r="E18" i="58"/>
  <c r="I18" i="58"/>
  <c r="M18" i="58"/>
  <c r="H19" i="58"/>
  <c r="L19" i="58"/>
  <c r="E22" i="58"/>
  <c r="I22" i="58"/>
  <c r="M22" i="58"/>
  <c r="Y35" i="46"/>
  <c r="X15" i="58"/>
  <c r="Y16" i="58"/>
  <c r="Y14" i="58"/>
  <c r="AJ42" i="47" l="1"/>
  <c r="D108" i="47"/>
  <c r="X22" i="58"/>
  <c r="AA16" i="58"/>
  <c r="Y23" i="58"/>
  <c r="Y21" i="58"/>
  <c r="AA14" i="58"/>
  <c r="Y15" i="58"/>
  <c r="X13" i="58"/>
  <c r="X20" i="58" l="1"/>
  <c r="AA15" i="58"/>
  <c r="Y22" i="58"/>
  <c r="X12" i="58"/>
  <c r="Y13" i="58"/>
  <c r="Y20" i="58" l="1"/>
  <c r="AA13" i="58"/>
  <c r="X19" i="58"/>
  <c r="Y12" i="58"/>
  <c r="Y19" i="58" l="1"/>
  <c r="AA12" i="58"/>
</calcChain>
</file>

<file path=xl/sharedStrings.xml><?xml version="1.0" encoding="utf-8"?>
<sst xmlns="http://schemas.openxmlformats.org/spreadsheetml/2006/main" count="2543" uniqueCount="391">
  <si>
    <t>A spreadsheet for estimating technical data for modern naval surface combatants.</t>
  </si>
  <si>
    <t>Disclaimer: I've collected all the data discussed on these pages from open/public domain sources over a 15 to 20 year period. Some of the discussion contained on these pages are my best interpretation of this data and I hope what I have posted is correct, but I can't guarantee its accuracy, so please proceed with caution with everything you might see on these pages.</t>
  </si>
  <si>
    <t>L (m)</t>
  </si>
  <si>
    <t>B (m)</t>
  </si>
  <si>
    <t>D (m)</t>
  </si>
  <si>
    <t>Cx</t>
  </si>
  <si>
    <t>Cp</t>
  </si>
  <si>
    <t>Cwp</t>
  </si>
  <si>
    <t>LCB (%L)</t>
  </si>
  <si>
    <t>ie</t>
  </si>
  <si>
    <t>At/Ax</t>
  </si>
  <si>
    <t>Bt/Bx</t>
  </si>
  <si>
    <t>Tt/Tx</t>
  </si>
  <si>
    <t>LBP</t>
  </si>
  <si>
    <t>Dm</t>
  </si>
  <si>
    <t>Tm</t>
  </si>
  <si>
    <t>T(m)</t>
  </si>
  <si>
    <t>Tx</t>
  </si>
  <si>
    <t>Trans Rake</t>
  </si>
  <si>
    <t>Cut Up %L</t>
  </si>
  <si>
    <t>Y</t>
  </si>
  <si>
    <t>M</t>
  </si>
  <si>
    <t>B</t>
  </si>
  <si>
    <t>S</t>
  </si>
  <si>
    <t>Bow Rake Upr</t>
  </si>
  <si>
    <t>Bow Rake Lwr</t>
  </si>
  <si>
    <t>X</t>
  </si>
  <si>
    <t>Mn Deck Slope</t>
  </si>
  <si>
    <t>Forefoot Rad</t>
  </si>
  <si>
    <t>Cut-Up Rad</t>
  </si>
  <si>
    <t>X'</t>
  </si>
  <si>
    <t>Y'</t>
  </si>
  <si>
    <t>S'</t>
  </si>
  <si>
    <t>M'</t>
  </si>
  <si>
    <t>B'</t>
  </si>
  <si>
    <t>Waterline</t>
  </si>
  <si>
    <t>Main Pts</t>
  </si>
  <si>
    <t>Ref Lines</t>
  </si>
  <si>
    <t>Main Hull Lines</t>
  </si>
  <si>
    <t>Ref Pts</t>
  </si>
  <si>
    <t>2a</t>
  </si>
  <si>
    <t>3a</t>
  </si>
  <si>
    <t>2b</t>
  </si>
  <si>
    <t>3b</t>
  </si>
  <si>
    <t>Sonar</t>
  </si>
  <si>
    <t>SQS23</t>
  </si>
  <si>
    <t>SQS26</t>
  </si>
  <si>
    <t>SQS53</t>
  </si>
  <si>
    <t>SQS56</t>
  </si>
  <si>
    <t>None</t>
  </si>
  <si>
    <t>4a</t>
  </si>
  <si>
    <t>4b</t>
  </si>
  <si>
    <t>4c</t>
  </si>
  <si>
    <t>4d</t>
  </si>
  <si>
    <t>1'</t>
  </si>
  <si>
    <t>2'</t>
  </si>
  <si>
    <t>3'</t>
  </si>
  <si>
    <t>4'</t>
  </si>
  <si>
    <t>5'</t>
  </si>
  <si>
    <t>6'</t>
  </si>
  <si>
    <t>7'</t>
  </si>
  <si>
    <t>8'</t>
  </si>
  <si>
    <t>0'</t>
  </si>
  <si>
    <t>Special Pts</t>
  </si>
  <si>
    <t>Sheer</t>
  </si>
  <si>
    <t>Fwd</t>
  </si>
  <si>
    <t>Straight Line</t>
  </si>
  <si>
    <t>Std</t>
  </si>
  <si>
    <t>Aft</t>
  </si>
  <si>
    <t>Ht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</si>
  <si>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</si>
  <si>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</si>
  <si>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</si>
  <si>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</si>
  <si>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</si>
  <si>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</si>
  <si>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</si>
  <si>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</si>
  <si>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</si>
  <si>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7a</t>
  </si>
  <si>
    <t>7b</t>
  </si>
  <si>
    <t>7c</t>
  </si>
  <si>
    <t>7d</t>
  </si>
  <si>
    <t>7e</t>
  </si>
  <si>
    <t>7f</t>
  </si>
  <si>
    <t>7g</t>
  </si>
  <si>
    <t>7h</t>
  </si>
  <si>
    <t>7i</t>
  </si>
  <si>
    <t>Start Pt</t>
  </si>
  <si>
    <t>Profile</t>
  </si>
  <si>
    <t>Btr'</t>
  </si>
  <si>
    <t>Atr'</t>
  </si>
  <si>
    <t>Btr</t>
  </si>
  <si>
    <t>Atr</t>
  </si>
  <si>
    <t>Cm</t>
  </si>
  <si>
    <t>Cwl</t>
  </si>
  <si>
    <t>LCF</t>
  </si>
  <si>
    <t>LCB</t>
  </si>
  <si>
    <t>DWL</t>
  </si>
  <si>
    <t>SA Curve</t>
  </si>
  <si>
    <t>T</t>
  </si>
  <si>
    <t>Lbp</t>
  </si>
  <si>
    <t>Input</t>
  </si>
  <si>
    <t>Full</t>
  </si>
  <si>
    <t>Fine</t>
  </si>
  <si>
    <t>Deadrise</t>
  </si>
  <si>
    <t>flare</t>
  </si>
  <si>
    <t>sa</t>
  </si>
  <si>
    <t>recip deadrise</t>
  </si>
  <si>
    <t>Deadrise Angle</t>
  </si>
  <si>
    <t>Flare Angle</t>
  </si>
  <si>
    <t>Upr Angle</t>
  </si>
  <si>
    <t>m</t>
  </si>
  <si>
    <t>l</t>
  </si>
  <si>
    <t>L</t>
  </si>
  <si>
    <t>x</t>
  </si>
  <si>
    <t>m'</t>
  </si>
  <si>
    <t>SA</t>
  </si>
  <si>
    <t>y</t>
  </si>
  <si>
    <t>HB</t>
  </si>
  <si>
    <t>LCF'</t>
  </si>
  <si>
    <t>User Input</t>
  </si>
  <si>
    <t>Recommended</t>
  </si>
  <si>
    <t>Loa</t>
  </si>
  <si>
    <t>(deg)</t>
  </si>
  <si>
    <t>(m)</t>
  </si>
  <si>
    <t>Data</t>
  </si>
  <si>
    <t>a(x)</t>
  </si>
  <si>
    <t>Bow Angle</t>
  </si>
  <si>
    <t>a2</t>
  </si>
  <si>
    <t>a3</t>
  </si>
  <si>
    <t>a4</t>
  </si>
  <si>
    <t>a5</t>
  </si>
  <si>
    <t>a6</t>
  </si>
  <si>
    <t>(def)</t>
  </si>
  <si>
    <t>(user input)</t>
  </si>
  <si>
    <t>y'</t>
  </si>
  <si>
    <t>a1</t>
  </si>
  <si>
    <t>1/2 Entrance Angle</t>
  </si>
  <si>
    <t>1/2 Ent Angle</t>
  </si>
  <si>
    <t>1/2 B</t>
  </si>
  <si>
    <t>1/2 Bwl</t>
  </si>
  <si>
    <t>x(loa)</t>
  </si>
  <si>
    <t>Flare</t>
  </si>
  <si>
    <t>Dimensions</t>
  </si>
  <si>
    <t>R</t>
  </si>
  <si>
    <t>X*</t>
  </si>
  <si>
    <t>Y*</t>
  </si>
  <si>
    <t>1/2 Btr</t>
  </si>
  <si>
    <t>Entrance Rise/Run</t>
  </si>
  <si>
    <t>Upr "</t>
  </si>
  <si>
    <t>Upr'</t>
  </si>
  <si>
    <t>Lwr'</t>
  </si>
  <si>
    <t>Revision Sheet</t>
  </si>
  <si>
    <t>Ver No#</t>
  </si>
  <si>
    <t>Date:</t>
  </si>
  <si>
    <t>0.01a</t>
  </si>
  <si>
    <t xml:space="preserve"> - </t>
  </si>
  <si>
    <t>Initial Development</t>
  </si>
  <si>
    <t>-</t>
  </si>
  <si>
    <t>List of References</t>
  </si>
  <si>
    <t>Ref No#</t>
  </si>
  <si>
    <t>Notes &amp; Instructions</t>
  </si>
  <si>
    <t>In this spreadsheet:</t>
  </si>
  <si>
    <t>1)</t>
  </si>
  <si>
    <t>2)</t>
  </si>
  <si>
    <t>3)</t>
  </si>
  <si>
    <t>4)</t>
  </si>
  <si>
    <t>5)</t>
  </si>
  <si>
    <t>6)</t>
  </si>
  <si>
    <t>Lt Green</t>
  </si>
  <si>
    <t>shaded cells are represent Required inputs</t>
  </si>
  <si>
    <t>Lt Blue</t>
  </si>
  <si>
    <t>shaded cells are represent Optional inputs</t>
  </si>
  <si>
    <t>Lt Yellow</t>
  </si>
  <si>
    <t>shaded cells are represent the results of calcs which have been repeated again for reference</t>
  </si>
  <si>
    <t xml:space="preserve">Second, the user would then go to the "Profile" tab and enter info to define the general shape of the design's outboard profile, including </t>
  </si>
  <si>
    <t>bow &amp; stern shape, as well as any main deck sheer.</t>
  </si>
  <si>
    <t xml:space="preserve">Tabs shaded </t>
  </si>
  <si>
    <t xml:space="preserve">Lt Orange </t>
  </si>
  <si>
    <t xml:space="preserve">are tabs requiring inputs.  </t>
  </si>
  <si>
    <t xml:space="preserve">Lt Olive </t>
  </si>
  <si>
    <t>are tabs which show output plots.</t>
  </si>
  <si>
    <t xml:space="preserve">First, on the tab "Input" the user would enter general information on the vessel's principle dimensions, sectional area curve info, and </t>
  </si>
  <si>
    <t>This spreadsheet is set up as a follow "post-processor" for use with the MN-MNVDET.xls spreadsheet, though it can also be used as a stand</t>
  </si>
  <si>
    <t>alone tool if desired.</t>
  </si>
  <si>
    <t>design waterline, which can be obtained from the MN-MNVDET.xls spreadsheet for new designs.</t>
  </si>
  <si>
    <t>Length Between Perpendiculars (LBP)</t>
  </si>
  <si>
    <t>Beam (B)</t>
  </si>
  <si>
    <t>Mean Depth Amidships (Dm)</t>
  </si>
  <si>
    <t>Prismatic Coefficient (Cp)</t>
  </si>
  <si>
    <t>Longitudinal Center of Buoyancy (LCB) as a % of LBP</t>
  </si>
  <si>
    <t>Midships Coefficient (Cx)</t>
  </si>
  <si>
    <t>Waterplane Coefficient (Cwp)</t>
  </si>
  <si>
    <t>Half Entrance Angle (ie)</t>
  </si>
  <si>
    <t>Transom Area (in terms of Midships Area) (At/Ax)</t>
  </si>
  <si>
    <t>Transom Beam (in terms of Waterline Beam) (Bt/Bx)</t>
  </si>
  <si>
    <t>Transom Draft (in terms of Mean Draft) (Tt/Tx)</t>
  </si>
  <si>
    <t>In MN-MNVDET.xls the following info is provided :</t>
  </si>
  <si>
    <t>Additionally, in MN-MNVDET.xls a preliminary estimate is made of:</t>
  </si>
  <si>
    <t xml:space="preserve">On this tab the user has the option of redefining the estimate of Tt/Tx, as well as inputting Bow &amp; Transom Rake, Main Hull Slope, </t>
  </si>
  <si>
    <t xml:space="preserve">Stern Cut-Up (&amp; Radius), Forefoot Radius, and Main Deck Sheer.  Bow &amp; Stern Rake, as well as Mn Deck Slope, are in terms of </t>
  </si>
  <si>
    <t>degrees of slope.  Cut-Up location is the point where a line tangent to the bottom of the hull from the Transom intercepts the Baseline.</t>
  </si>
  <si>
    <t xml:space="preserve">Cut-up Radius and Forefoot radius are in terms of meters.  Allowance is provided for locating a bow sonar dome (though right now only </t>
  </si>
  <si>
    <t>the SQS-26 is defined).  Finally, the user also has the option to input forward and after deck sheer defining the height of the sheer.</t>
  </si>
  <si>
    <t>at the ends and the start point in terms of a fraction of the ship's length.</t>
  </si>
  <si>
    <t>An image of the outboard profile of the ship (showing reference lines in way of the aft cut-up and main deck sheer) is included on</t>
  </si>
  <si>
    <t>this tab to assist the user in laying out the profile.</t>
  </si>
  <si>
    <t xml:space="preserve">Next  the user layouts the ship's prismatic coefficient on the tab "Cp".  A ship's prismatic curve defines the shape of its underwater </t>
  </si>
  <si>
    <t xml:space="preserve">hullform and can be approximated as a high order polynomial.   Initially this was estimated by an equation that came from a paper that </t>
  </si>
  <si>
    <t>I believe was written by Ebru S… (Ref X).  In putting together this spreadsheet though, I ended up modifying the equation slightly</t>
  </si>
  <si>
    <t>adding an additional term to allow the user to control the slope of the forward end of this curve.  This was done to allow the user to</t>
  </si>
  <si>
    <t>better control the shape of the forward sections of the hull.</t>
  </si>
  <si>
    <t xml:space="preserve">On this tab, a plot of the resultant Prismatic Curve is provided.  Here the Blue Curve shows the an initial estimate of the Prismatic </t>
  </si>
  <si>
    <t>Curve based on the original equations from Ref X, while the Red Curve shows the curve based on the revised equation.</t>
  </si>
  <si>
    <t>Next, the user develops the ship's Design Waterline Curve, which is based on similar eqautions as the Prismatic Curve above.</t>
  </si>
  <si>
    <t xml:space="preserve">For the Design Waterline, the slope of the waterline forward is already defined (as the Half Entrance Angle).   However, the </t>
  </si>
  <si>
    <t>Longitudinal Center of Flotation (LCF) is not pre-defined, so the user can adjust and manipulate this as desired to refine the vessel's</t>
  </si>
  <si>
    <t>hullform shape.</t>
  </si>
  <si>
    <t xml:space="preserve">The user then can also define the shape of the Main Deck and an intermediate waterline (halfway between the Design Waterline and </t>
  </si>
  <si>
    <t>Main Deck) on the Tabs "CWD" and "CMUpr" (respectively).</t>
  </si>
  <si>
    <t xml:space="preserve">Finally, on the Tab "Sections" the user then refines the final shape of the ship's sections.  For full sections (with a local sectional area </t>
  </si>
  <si>
    <t xml:space="preserve">coefficient over 0.72) the spreadsheet automatically calculates the section shape.  For fine sections (with a local section area </t>
  </si>
  <si>
    <t xml:space="preserve">coefficient less than 0.72) an initial estimate of deadrise is provided, however the user can adjust this as necessary to better refine </t>
  </si>
  <si>
    <t>the shapes of those sections.</t>
  </si>
  <si>
    <t>On this Tab:</t>
  </si>
  <si>
    <t>A plot of the ship's body plan is provided for reference</t>
  </si>
  <si>
    <t xml:space="preserve">A plot of the hull's deadrise angle at each section is also provided to assist the user in setting/adjusting the value of </t>
  </si>
  <si>
    <t>deadrise for the fine sections</t>
  </si>
  <si>
    <t>Tabs "Profile 1", "Profile 2", "Cm", "Transom", "Cp Plot" "Upr hull", and "Body Plan" show additional plots of the resultant hullform.</t>
  </si>
  <si>
    <t>This is a spreadsheet that has been set up to assist in developing a rough preliminary hullform for post World War II era naval combatant vessels.</t>
  </si>
  <si>
    <t>All other tabs primarily contain calculations and data look up tables.</t>
  </si>
  <si>
    <t>Local</t>
  </si>
  <si>
    <t>Section Area</t>
  </si>
  <si>
    <t>WL</t>
  </si>
  <si>
    <t>Vol Abv WL</t>
  </si>
  <si>
    <t>Vol Blw WL</t>
  </si>
  <si>
    <t>f(LBD)</t>
  </si>
  <si>
    <t>f(CbLBD)</t>
  </si>
  <si>
    <t xml:space="preserve">L </t>
  </si>
  <si>
    <t>Vol Aft End</t>
  </si>
  <si>
    <t>Vol Fwd End</t>
  </si>
  <si>
    <t>Slope</t>
  </si>
  <si>
    <t>Dk Ht Amidships</t>
  </si>
  <si>
    <t>Dk #</t>
  </si>
  <si>
    <t>Sheer Type</t>
  </si>
  <si>
    <t>Amidships</t>
  </si>
  <si>
    <t>Type</t>
  </si>
  <si>
    <t>Aft Sheer</t>
  </si>
  <si>
    <t>Increase</t>
  </si>
  <si>
    <t>(%L)</t>
  </si>
  <si>
    <t>Fwd Sheer</t>
  </si>
  <si>
    <t>Incr</t>
  </si>
  <si>
    <t>(%MD)</t>
  </si>
  <si>
    <t>Z</t>
  </si>
  <si>
    <t>%L fwd AP</t>
  </si>
  <si>
    <t>Angle</t>
  </si>
  <si>
    <t>Bm</t>
  </si>
  <si>
    <t>STA 3</t>
  </si>
  <si>
    <t>Y0</t>
  </si>
  <si>
    <t>Y1</t>
  </si>
  <si>
    <t>A</t>
  </si>
  <si>
    <t>C</t>
  </si>
  <si>
    <t>100(A+B+C)/Lwl</t>
  </si>
  <si>
    <t>Main Deck</t>
  </si>
  <si>
    <t>Sta</t>
  </si>
  <si>
    <t>Mn Pts</t>
  </si>
  <si>
    <t>0.02a</t>
  </si>
  <si>
    <t>Added "Xfer" tab</t>
  </si>
  <si>
    <t>Version: 0.02a</t>
  </si>
  <si>
    <t>Date: August 25, 2009</t>
  </si>
  <si>
    <r>
      <t xml:space="preserve">f </t>
    </r>
    <r>
      <rPr>
        <sz val="8"/>
        <rFont val="Symbol"/>
        <family val="1"/>
        <charset val="2"/>
      </rPr>
      <t>¯</t>
    </r>
    <r>
      <rPr>
        <sz val="11"/>
        <color theme="1"/>
        <rFont val="Calibri"/>
        <family val="2"/>
        <scheme val="minor"/>
      </rPr>
      <t xml:space="preserve">  m</t>
    </r>
    <r>
      <rPr>
        <sz val="8"/>
        <rFont val="Symbol"/>
        <family val="1"/>
        <charset val="2"/>
      </rPr>
      <t>®</t>
    </r>
  </si>
  <si>
    <t>(radians)</t>
  </si>
  <si>
    <t>(DWL)</t>
  </si>
  <si>
    <t>(CWD)</t>
  </si>
  <si>
    <t>DDS 079-2</t>
  </si>
  <si>
    <t>Walden &amp; Grundmann</t>
  </si>
  <si>
    <t>Vol of Disp</t>
  </si>
  <si>
    <t>Bales</t>
  </si>
  <si>
    <t>L/T</t>
  </si>
  <si>
    <t>Vol^(1/3)</t>
  </si>
  <si>
    <t>If L/T&lt; 27.5</t>
  </si>
  <si>
    <t>FB0</t>
  </si>
  <si>
    <t>FB1.5</t>
  </si>
  <si>
    <t>FB6</t>
  </si>
  <si>
    <t>If L/T =&gt; 27.5</t>
  </si>
  <si>
    <t>Gale</t>
  </si>
  <si>
    <t>Actual</t>
  </si>
  <si>
    <t>Fbd</t>
  </si>
  <si>
    <t>D</t>
  </si>
  <si>
    <t>Rcap = 8.42 + 45.1 * Cwp(fwd) + 10.1 * Cwp(aft) - 378 * T / L + 1.27 * c / L - 23.5 * Cvp(fwd) - 15.9 * Cvp(aft)</t>
  </si>
  <si>
    <t>Seakeeping Rank Estimator</t>
  </si>
  <si>
    <t>Cwp(fwd)</t>
  </si>
  <si>
    <t>Cwp(aft)</t>
  </si>
  <si>
    <t>Cvp(fwd)</t>
  </si>
  <si>
    <t>Cvp(aft)</t>
  </si>
  <si>
    <t>c/L</t>
  </si>
  <si>
    <t>T/L</t>
  </si>
  <si>
    <t xml:space="preserve">Rcap </t>
  </si>
  <si>
    <t>= 8.42 + 45.1 * Cwp(fwd) + 10.1 * Cwp(aft) - 378 * T / L + 1.27 * c / L - 23.5 * Cvp(fwd) - 15.9 * Cvp(aft)</t>
  </si>
  <si>
    <t>L/B from 8.0 to 9.8</t>
  </si>
  <si>
    <t>B/T from 2.5 to 3.7</t>
  </si>
  <si>
    <t>Cvpf &gt; 0.68</t>
  </si>
  <si>
    <t>Cwf &lt; 0.70</t>
  </si>
  <si>
    <t>Cvp</t>
  </si>
  <si>
    <t>DDS-079-2 Check</t>
  </si>
  <si>
    <t>Lpp</t>
  </si>
  <si>
    <t>Walden &amp; Grundmann Freeboard Check</t>
  </si>
  <si>
    <t xml:space="preserve">L/T = </t>
  </si>
  <si>
    <t>Notes</t>
  </si>
  <si>
    <t>Gale Freeboard Check</t>
  </si>
  <si>
    <t xml:space="preserve">Rcap = </t>
  </si>
  <si>
    <t>8.42 + 45.1 * Cwp(fwd) + 10.1 * Cwp(aft) - 378 * T / L + 1.27 * c / L - 23.5 * Cvp(fwd) - 15.9 * Cvp(aft)</t>
  </si>
  <si>
    <t>=</t>
  </si>
  <si>
    <t xml:space="preserve">Bales Freeboard Check </t>
  </si>
  <si>
    <t>Bales Seakeeping Rank Estimator</t>
  </si>
  <si>
    <t>0.03a</t>
  </si>
  <si>
    <t>Corrected some errors in the slope calculations for Cp, Cwl, Cwd, &amp; CMUpr</t>
  </si>
  <si>
    <t>Revised/expended Seakeeping info</t>
  </si>
  <si>
    <t>Flare @ MS</t>
  </si>
  <si>
    <t>y(CWD)</t>
  </si>
  <si>
    <t>Fbd @ MS</t>
  </si>
  <si>
    <t>+</t>
  </si>
  <si>
    <t>Revised to better handle flared hullforms</t>
  </si>
  <si>
    <t>Available Encl Hull Volume</t>
  </si>
  <si>
    <t>(m3)</t>
  </si>
  <si>
    <t>y(0)</t>
  </si>
  <si>
    <t>y(1)</t>
  </si>
  <si>
    <t>y'(0)</t>
  </si>
  <si>
    <t>y(m)</t>
  </si>
  <si>
    <t>Sta of Max Area</t>
  </si>
  <si>
    <t>y'(1)</t>
  </si>
  <si>
    <t>Sum(y)dx</t>
  </si>
  <si>
    <t>1/2 Exit Angle</t>
  </si>
  <si>
    <t>Sta of Max Width</t>
  </si>
  <si>
    <t>(def = 0.5)</t>
  </si>
  <si>
    <t>ft</t>
  </si>
  <si>
    <t>[Units]</t>
  </si>
  <si>
    <t>Option</t>
  </si>
  <si>
    <t>(Bt/Bx)</t>
  </si>
  <si>
    <t>[From Initial Inputs]</t>
  </si>
  <si>
    <t>[Alt User Over Ride]</t>
  </si>
  <si>
    <t>Ref Data</t>
  </si>
  <si>
    <t>[Max Values]</t>
  </si>
  <si>
    <t>Selected Option for calcs</t>
  </si>
  <si>
    <t>Opt1</t>
  </si>
  <si>
    <t>Opt2</t>
  </si>
  <si>
    <t>Opt3</t>
  </si>
  <si>
    <t>Opt4'</t>
  </si>
  <si>
    <t>Selected</t>
  </si>
  <si>
    <t>Dwl Info</t>
  </si>
  <si>
    <t>Input for CWD</t>
  </si>
  <si>
    <t>Default</t>
  </si>
  <si>
    <t>Alt User Input</t>
  </si>
  <si>
    <t>Inputs</t>
  </si>
  <si>
    <t>(Default Value)</t>
  </si>
  <si>
    <t>(User Input)</t>
  </si>
  <si>
    <t>CWD</t>
  </si>
  <si>
    <t>Ref Data &amp; WL Slope</t>
  </si>
  <si>
    <t>CWD-CMUpr Slope</t>
  </si>
  <si>
    <t>WL Slope</t>
  </si>
  <si>
    <t>deltaY</t>
  </si>
  <si>
    <t>deltaX</t>
  </si>
  <si>
    <t>XU</t>
  </si>
  <si>
    <t>XM</t>
  </si>
  <si>
    <t>1/2 B MUpr</t>
  </si>
  <si>
    <t>1/2 BWD</t>
  </si>
  <si>
    <t>XCwl</t>
  </si>
  <si>
    <t>CMUpr</t>
  </si>
  <si>
    <t>Opt3'</t>
  </si>
  <si>
    <t>x'</t>
  </si>
  <si>
    <t>Fwd End</t>
  </si>
  <si>
    <t>k</t>
  </si>
  <si>
    <t>n</t>
  </si>
  <si>
    <t>o</t>
  </si>
  <si>
    <t>p</t>
  </si>
  <si>
    <t>q</t>
  </si>
  <si>
    <t>r</t>
  </si>
  <si>
    <t>s</t>
  </si>
  <si>
    <t>t</t>
  </si>
  <si>
    <t>Aft End</t>
  </si>
  <si>
    <t>v</t>
  </si>
  <si>
    <t>B,</t>
  </si>
  <si>
    <t>Tm,</t>
  </si>
  <si>
    <t>CWP</t>
  </si>
  <si>
    <t>CM</t>
  </si>
  <si>
    <t>CP</t>
  </si>
  <si>
    <t>CB</t>
  </si>
  <si>
    <t>LCB,</t>
  </si>
  <si>
    <t>LCG,</t>
  </si>
  <si>
    <t>LCF,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</si>
</sst>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0.000%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2"/>
      <name val="Arial"/>
      <family val="2"/>
    </font>
    <font>
      <sz val="18"/>
      <color indexed="12"/>
      <name val="Arial"/>
      <family val="2"/>
    </font>
    <font>
      <sz val="36"/>
      <color indexed="12"/>
      <name val="Arial"/>
      <family val="2"/>
    </font>
    <font>
      <sz val="20"/>
      <color indexed="12"/>
      <name val="Arial"/>
      <family val="2"/>
    </font>
    <font>
      <sz val="6"/>
      <color indexed="12"/>
      <name val="Arial"/>
      <family val="2"/>
    </font>
    <font>
      <sz val="10"/>
      <name val="Arial"/>
      <family val="2"/>
    </font>
    <font>
      <sz val="8"/>
      <name val="Symbol"/>
      <family val="1"/>
      <charset val="2"/>
    </font>
    <font>
      <sz val="1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color indexed="48"/>
      <name val="Tahoma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12"/>
      </left>
      <right/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 style="medium">
        <color indexed="12"/>
      </left>
      <right/>
      <top/>
      <bottom/>
      <diagonal/>
    </border>
    <border>
      <left/>
      <right style="medium">
        <color indexed="12"/>
      </right>
      <top/>
      <bottom/>
      <diagonal/>
    </border>
    <border>
      <left style="medium">
        <color indexed="12"/>
      </left>
      <right/>
      <top/>
      <bottom style="medium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 style="medium">
        <color indexed="12"/>
      </right>
      <top/>
      <bottom style="medium">
        <color indexed="1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/>
      <diagonal/>
    </border>
    <border>
      <left/>
      <right style="thick">
        <color indexed="12"/>
      </right>
      <top/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7" fillId="0" borderId="0"/>
    <xf numFmtId="0" fontId="9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99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2" xfId="1" applyFont="1" applyBorder="1"/>
    <xf numFmtId="0" fontId="2" fillId="0" borderId="3" xfId="1" applyFont="1" applyBorder="1"/>
    <xf numFmtId="0" fontId="2" fillId="0" borderId="4" xfId="1" applyFont="1" applyBorder="1"/>
    <xf numFmtId="0" fontId="2" fillId="0" borderId="0" xfId="1" applyFont="1" applyBorder="1"/>
    <xf numFmtId="0" fontId="2" fillId="0" borderId="5" xfId="1" applyFont="1" applyBorder="1"/>
    <xf numFmtId="0" fontId="1" fillId="0" borderId="0" xfId="1" applyAlignment="1">
      <alignment vertical="center" wrapText="1"/>
    </xf>
    <xf numFmtId="0" fontId="2" fillId="0" borderId="6" xfId="1" applyFont="1" applyBorder="1"/>
    <xf numFmtId="0" fontId="2" fillId="0" borderId="7" xfId="1" applyFont="1" applyBorder="1"/>
    <xf numFmtId="0" fontId="2" fillId="0" borderId="8" xfId="1" applyFont="1" applyBorder="1"/>
    <xf numFmtId="1" fontId="0" fillId="0" borderId="0" xfId="0" applyNumberFormat="1"/>
    <xf numFmtId="2" fontId="0" fillId="0" borderId="0" xfId="0" applyNumberFormat="1"/>
    <xf numFmtId="165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Fill="1"/>
    <xf numFmtId="0" fontId="0" fillId="0" borderId="0" xfId="0" applyBorder="1"/>
    <xf numFmtId="2" fontId="0" fillId="0" borderId="0" xfId="0" applyNumberFormat="1" applyFill="1"/>
    <xf numFmtId="166" fontId="0" fillId="0" borderId="0" xfId="0" applyNumberFormat="1"/>
    <xf numFmtId="165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11" fontId="0" fillId="0" borderId="0" xfId="0" applyNumberFormat="1" applyFill="1"/>
    <xf numFmtId="0" fontId="0" fillId="0" borderId="0" xfId="0" applyNumberFormat="1" applyFill="1"/>
    <xf numFmtId="166" fontId="0" fillId="0" borderId="0" xfId="0" applyNumberFormat="1" applyFill="1"/>
    <xf numFmtId="0" fontId="7" fillId="0" borderId="0" xfId="2"/>
    <xf numFmtId="2" fontId="7" fillId="0" borderId="0" xfId="2" applyNumberFormat="1"/>
    <xf numFmtId="165" fontId="7" fillId="0" borderId="0" xfId="2" applyNumberFormat="1"/>
    <xf numFmtId="0" fontId="7" fillId="0" borderId="0" xfId="2" quotePrefix="1"/>
    <xf numFmtId="0" fontId="7" fillId="0" borderId="9" xfId="2" applyBorder="1"/>
    <xf numFmtId="0" fontId="7" fillId="0" borderId="10" xfId="2" applyBorder="1"/>
    <xf numFmtId="0" fontId="7" fillId="0" borderId="0" xfId="2" applyBorder="1"/>
    <xf numFmtId="0" fontId="7" fillId="0" borderId="11" xfId="2" applyBorder="1"/>
    <xf numFmtId="2" fontId="7" fillId="0" borderId="0" xfId="2" applyNumberFormat="1" applyFill="1"/>
    <xf numFmtId="0" fontId="7" fillId="2" borderId="0" xfId="2" applyFill="1"/>
    <xf numFmtId="0" fontId="7" fillId="0" borderId="0" xfId="2" applyFill="1"/>
    <xf numFmtId="165" fontId="7" fillId="0" borderId="0" xfId="2" applyNumberFormat="1" applyFill="1"/>
    <xf numFmtId="0" fontId="7" fillId="3" borderId="0" xfId="2" applyFill="1"/>
    <xf numFmtId="164" fontId="7" fillId="0" borderId="0" xfId="2" applyNumberFormat="1"/>
    <xf numFmtId="166" fontId="7" fillId="0" borderId="0" xfId="2" applyNumberFormat="1"/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/>
    <xf numFmtId="0" fontId="0" fillId="0" borderId="10" xfId="0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1" fillId="0" borderId="0" xfId="2" applyFont="1"/>
    <xf numFmtId="0" fontId="7" fillId="0" borderId="0" xfId="2" applyNumberFormat="1"/>
    <xf numFmtId="0" fontId="1" fillId="0" borderId="0" xfId="2" applyFont="1" applyFill="1"/>
    <xf numFmtId="0" fontId="1" fillId="0" borderId="0" xfId="2" applyNumberFormat="1" applyFont="1" applyFill="1"/>
    <xf numFmtId="0" fontId="1" fillId="0" borderId="0" xfId="2" applyFont="1" applyAlignment="1">
      <alignment horizontal="center"/>
    </xf>
    <xf numFmtId="0" fontId="1" fillId="0" borderId="0" xfId="2" applyFont="1" applyFill="1" applyAlignment="1">
      <alignment horizontal="center"/>
    </xf>
    <xf numFmtId="0" fontId="7" fillId="0" borderId="10" xfId="2" applyBorder="1" applyAlignment="1">
      <alignment horizontal="center"/>
    </xf>
    <xf numFmtId="0" fontId="7" fillId="0" borderId="18" xfId="2" applyBorder="1" applyAlignment="1">
      <alignment horizontal="center"/>
    </xf>
    <xf numFmtId="0" fontId="7" fillId="0" borderId="15" xfId="2" applyBorder="1" applyAlignment="1">
      <alignment horizontal="center"/>
    </xf>
    <xf numFmtId="2" fontId="7" fillId="0" borderId="11" xfId="2" applyNumberFormat="1" applyBorder="1"/>
    <xf numFmtId="2" fontId="7" fillId="0" borderId="16" xfId="2" applyNumberFormat="1" applyBorder="1"/>
    <xf numFmtId="0" fontId="7" fillId="0" borderId="12" xfId="2" applyBorder="1" applyAlignment="1">
      <alignment horizontal="center"/>
    </xf>
    <xf numFmtId="2" fontId="7" fillId="0" borderId="0" xfId="2" applyNumberFormat="1" applyBorder="1"/>
    <xf numFmtId="2" fontId="7" fillId="0" borderId="13" xfId="2" applyNumberFormat="1" applyBorder="1"/>
    <xf numFmtId="2" fontId="7" fillId="0" borderId="9" xfId="2" applyNumberFormat="1" applyBorder="1"/>
    <xf numFmtId="2" fontId="7" fillId="0" borderId="14" xfId="2" applyNumberFormat="1" applyBorder="1"/>
    <xf numFmtId="165" fontId="7" fillId="0" borderId="11" xfId="2" applyNumberFormat="1" applyBorder="1"/>
    <xf numFmtId="165" fontId="7" fillId="0" borderId="16" xfId="2" applyNumberFormat="1" applyBorder="1"/>
    <xf numFmtId="165" fontId="7" fillId="0" borderId="0" xfId="2" applyNumberFormat="1" applyBorder="1"/>
    <xf numFmtId="165" fontId="7" fillId="0" borderId="13" xfId="2" applyNumberFormat="1" applyBorder="1"/>
    <xf numFmtId="165" fontId="7" fillId="0" borderId="9" xfId="2" applyNumberFormat="1" applyBorder="1"/>
    <xf numFmtId="165" fontId="7" fillId="0" borderId="14" xfId="2" applyNumberFormat="1" applyBorder="1"/>
    <xf numFmtId="0" fontId="7" fillId="0" borderId="14" xfId="2" applyBorder="1" applyAlignment="1">
      <alignment horizontal="center"/>
    </xf>
    <xf numFmtId="0" fontId="7" fillId="0" borderId="11" xfId="2" applyBorder="1" applyAlignment="1">
      <alignment horizontal="center"/>
    </xf>
    <xf numFmtId="0" fontId="7" fillId="0" borderId="16" xfId="2" applyBorder="1" applyAlignment="1">
      <alignment horizontal="center"/>
    </xf>
    <xf numFmtId="0" fontId="7" fillId="0" borderId="9" xfId="2" applyBorder="1" applyAlignment="1">
      <alignment horizontal="center"/>
    </xf>
    <xf numFmtId="0" fontId="7" fillId="0" borderId="0" xfId="2" applyFill="1" applyBorder="1"/>
    <xf numFmtId="0" fontId="1" fillId="0" borderId="0" xfId="1" applyFill="1" applyBorder="1"/>
    <xf numFmtId="0" fontId="0" fillId="0" borderId="0" xfId="0" applyFill="1" applyBorder="1"/>
    <xf numFmtId="1" fontId="6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1" fontId="2" fillId="0" borderId="0" xfId="1" applyNumberFormat="1" applyFont="1" applyFill="1" applyBorder="1"/>
    <xf numFmtId="165" fontId="2" fillId="0" borderId="0" xfId="1" applyNumberFormat="1" applyFont="1" applyFill="1" applyBorder="1"/>
    <xf numFmtId="0" fontId="7" fillId="0" borderId="0" xfId="2" applyAlignment="1">
      <alignment horizontal="right"/>
    </xf>
    <xf numFmtId="0" fontId="0" fillId="2" borderId="0" xfId="0" applyFill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7" fillId="0" borderId="0" xfId="2" applyAlignment="1">
      <alignment horizontal="center"/>
    </xf>
    <xf numFmtId="0" fontId="9" fillId="0" borderId="0" xfId="3"/>
    <xf numFmtId="0" fontId="9" fillId="0" borderId="27" xfId="3" applyBorder="1"/>
    <xf numFmtId="0" fontId="9" fillId="0" borderId="28" xfId="3" applyBorder="1"/>
    <xf numFmtId="0" fontId="9" fillId="0" borderId="29" xfId="3" applyBorder="1"/>
    <xf numFmtId="0" fontId="9" fillId="0" borderId="30" xfId="3" applyBorder="1"/>
    <xf numFmtId="0" fontId="9" fillId="0" borderId="0" xfId="3" applyBorder="1"/>
    <xf numFmtId="0" fontId="9" fillId="0" borderId="31" xfId="3" applyBorder="1"/>
    <xf numFmtId="0" fontId="9" fillId="0" borderId="0" xfId="3" applyBorder="1" applyAlignment="1">
      <alignment horizontal="center"/>
    </xf>
    <xf numFmtId="15" fontId="9" fillId="0" borderId="0" xfId="3" applyNumberFormat="1" applyBorder="1" applyAlignment="1">
      <alignment horizontal="center"/>
    </xf>
    <xf numFmtId="0" fontId="9" fillId="0" borderId="0" xfId="3" quotePrefix="1" applyBorder="1" applyAlignment="1">
      <alignment horizontal="center"/>
    </xf>
    <xf numFmtId="0" fontId="1" fillId="0" borderId="0" xfId="3" applyFont="1" applyBorder="1"/>
    <xf numFmtId="0" fontId="1" fillId="0" borderId="0" xfId="3" applyFont="1" applyBorder="1" applyAlignment="1">
      <alignment horizontal="center"/>
    </xf>
    <xf numFmtId="0" fontId="1" fillId="0" borderId="0" xfId="3" quotePrefix="1" applyFont="1" applyBorder="1" applyAlignment="1">
      <alignment horizontal="center"/>
    </xf>
    <xf numFmtId="0" fontId="1" fillId="0" borderId="0" xfId="3" applyFont="1" applyFill="1" applyBorder="1"/>
    <xf numFmtId="0" fontId="9" fillId="0" borderId="32" xfId="3" applyBorder="1"/>
    <xf numFmtId="0" fontId="9" fillId="0" borderId="33" xfId="3" applyBorder="1"/>
    <xf numFmtId="0" fontId="9" fillId="0" borderId="34" xfId="3" applyBorder="1"/>
    <xf numFmtId="0" fontId="1" fillId="0" borderId="0" xfId="3" applyFont="1" applyAlignment="1">
      <alignment horizontal="center"/>
    </xf>
    <xf numFmtId="0" fontId="1" fillId="0" borderId="0" xfId="3" applyFont="1" applyFill="1" applyBorder="1" applyAlignment="1">
      <alignment horizontal="center"/>
    </xf>
    <xf numFmtId="0" fontId="1" fillId="0" borderId="0" xfId="3" applyFont="1"/>
    <xf numFmtId="0" fontId="9" fillId="0" borderId="0" xfId="3" applyFont="1" applyFill="1" applyBorder="1" applyAlignment="1">
      <alignment horizontal="center"/>
    </xf>
    <xf numFmtId="0" fontId="9" fillId="0" borderId="0" xfId="3" applyFont="1" applyFill="1" applyBorder="1"/>
    <xf numFmtId="0" fontId="1" fillId="0" borderId="0" xfId="3" applyFont="1" applyAlignment="1">
      <alignment horizontal="left"/>
    </xf>
    <xf numFmtId="0" fontId="1" fillId="0" borderId="0" xfId="3" applyFont="1" applyBorder="1" applyAlignment="1">
      <alignment horizontal="left"/>
    </xf>
    <xf numFmtId="0" fontId="9" fillId="2" borderId="0" xfId="3" applyFill="1" applyBorder="1" applyAlignment="1">
      <alignment horizontal="left"/>
    </xf>
    <xf numFmtId="0" fontId="9" fillId="4" borderId="0" xfId="3" applyFill="1" applyBorder="1" applyAlignment="1">
      <alignment horizontal="left" vertical="center" wrapText="1"/>
    </xf>
    <xf numFmtId="164" fontId="9" fillId="5" borderId="0" xfId="3" applyNumberFormat="1" applyFill="1" applyBorder="1" applyAlignment="1">
      <alignment horizontal="left"/>
    </xf>
    <xf numFmtId="164" fontId="0" fillId="5" borderId="0" xfId="0" applyNumberFormat="1" applyFill="1" applyBorder="1" applyAlignment="1">
      <alignment horizontal="left"/>
    </xf>
    <xf numFmtId="0" fontId="0" fillId="5" borderId="0" xfId="0" applyFill="1"/>
    <xf numFmtId="165" fontId="0" fillId="5" borderId="0" xfId="0" applyNumberFormat="1" applyFill="1"/>
    <xf numFmtId="165" fontId="0" fillId="5" borderId="0" xfId="0" applyNumberFormat="1" applyFill="1" applyBorder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Border="1" applyAlignment="1">
      <alignment horizontal="left"/>
    </xf>
    <xf numFmtId="165" fontId="0" fillId="0" borderId="0" xfId="0" applyNumberFormat="1" applyFill="1" applyBorder="1"/>
    <xf numFmtId="0" fontId="1" fillId="6" borderId="0" xfId="3" applyFont="1" applyFill="1" applyBorder="1"/>
    <xf numFmtId="0" fontId="1" fillId="7" borderId="0" xfId="3" applyFont="1" applyFill="1" applyBorder="1"/>
    <xf numFmtId="164" fontId="9" fillId="0" borderId="0" xfId="3" applyNumberFormat="1" applyFill="1" applyBorder="1" applyAlignment="1">
      <alignment horizontal="left"/>
    </xf>
    <xf numFmtId="164" fontId="1" fillId="0" borderId="0" xfId="3" applyNumberFormat="1" applyFont="1" applyFill="1" applyBorder="1" applyAlignment="1">
      <alignment horizontal="left"/>
    </xf>
    <xf numFmtId="0" fontId="1" fillId="0" borderId="16" xfId="2" applyFont="1" applyBorder="1"/>
    <xf numFmtId="0" fontId="1" fillId="0" borderId="10" xfId="2" applyFont="1" applyBorder="1" applyAlignment="1">
      <alignment horizontal="center"/>
    </xf>
    <xf numFmtId="0" fontId="7" fillId="0" borderId="14" xfId="2" applyBorder="1"/>
    <xf numFmtId="0" fontId="1" fillId="0" borderId="11" xfId="2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1" fillId="0" borderId="36" xfId="2" applyFont="1" applyBorder="1" applyAlignment="1">
      <alignment horizontal="center"/>
    </xf>
    <xf numFmtId="165" fontId="0" fillId="5" borderId="15" xfId="0" applyNumberFormat="1" applyFill="1" applyBorder="1"/>
    <xf numFmtId="2" fontId="0" fillId="5" borderId="11" xfId="0" applyNumberFormat="1" applyFill="1" applyBorder="1"/>
    <xf numFmtId="2" fontId="0" fillId="5" borderId="16" xfId="0" applyNumberFormat="1" applyFill="1" applyBorder="1"/>
    <xf numFmtId="165" fontId="0" fillId="5" borderId="12" xfId="0" applyNumberFormat="1" applyFill="1" applyBorder="1"/>
    <xf numFmtId="2" fontId="0" fillId="5" borderId="0" xfId="0" applyNumberFormat="1" applyFill="1" applyBorder="1"/>
    <xf numFmtId="2" fontId="0" fillId="5" borderId="13" xfId="0" applyNumberFormat="1" applyFill="1" applyBorder="1"/>
    <xf numFmtId="165" fontId="0" fillId="5" borderId="10" xfId="0" applyNumberFormat="1" applyFill="1" applyBorder="1"/>
    <xf numFmtId="2" fontId="0" fillId="5" borderId="9" xfId="0" applyNumberFormat="1" applyFill="1" applyBorder="1"/>
    <xf numFmtId="2" fontId="0" fillId="5" borderId="14" xfId="0" applyNumberFormat="1" applyFill="1" applyBorder="1"/>
    <xf numFmtId="0" fontId="7" fillId="0" borderId="36" xfId="2" applyBorder="1"/>
    <xf numFmtId="166" fontId="7" fillId="0" borderId="15" xfId="2" applyNumberFormat="1" applyFill="1" applyBorder="1"/>
    <xf numFmtId="166" fontId="7" fillId="0" borderId="11" xfId="2" applyNumberFormat="1" applyBorder="1"/>
    <xf numFmtId="166" fontId="7" fillId="0" borderId="12" xfId="2" applyNumberFormat="1" applyFill="1" applyBorder="1"/>
    <xf numFmtId="166" fontId="7" fillId="0" borderId="0" xfId="2" applyNumberFormat="1" applyBorder="1"/>
    <xf numFmtId="0" fontId="7" fillId="0" borderId="11" xfId="2" applyFill="1" applyBorder="1"/>
    <xf numFmtId="0" fontId="7" fillId="0" borderId="16" xfId="2" applyBorder="1"/>
    <xf numFmtId="0" fontId="7" fillId="0" borderId="13" xfId="2" applyBorder="1"/>
    <xf numFmtId="0" fontId="0" fillId="0" borderId="15" xfId="0" applyBorder="1"/>
    <xf numFmtId="2" fontId="7" fillId="0" borderId="15" xfId="2" applyNumberFormat="1" applyBorder="1"/>
    <xf numFmtId="2" fontId="7" fillId="0" borderId="12" xfId="2" applyNumberFormat="1" applyBorder="1"/>
    <xf numFmtId="2" fontId="7" fillId="0" borderId="10" xfId="2" applyNumberFormat="1" applyBorder="1"/>
    <xf numFmtId="0" fontId="0" fillId="3" borderId="0" xfId="0" applyFill="1"/>
    <xf numFmtId="0" fontId="0" fillId="8" borderId="0" xfId="0" applyFill="1"/>
    <xf numFmtId="165" fontId="0" fillId="8" borderId="0" xfId="0" applyNumberFormat="1" applyFill="1"/>
    <xf numFmtId="165" fontId="0" fillId="3" borderId="0" xfId="0" applyNumberFormat="1" applyFill="1"/>
    <xf numFmtId="2" fontId="0" fillId="8" borderId="0" xfId="0" applyNumberFormat="1" applyFill="1"/>
    <xf numFmtId="0" fontId="0" fillId="0" borderId="0" xfId="0" applyAlignment="1">
      <alignment horizontal="right"/>
    </xf>
    <xf numFmtId="164" fontId="0" fillId="0" borderId="9" xfId="0" applyNumberFormat="1" applyBorder="1"/>
    <xf numFmtId="164" fontId="0" fillId="8" borderId="0" xfId="0" applyNumberFormat="1" applyFill="1"/>
    <xf numFmtId="0" fontId="0" fillId="0" borderId="1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2" xfId="0" applyFill="1" applyBorder="1"/>
    <xf numFmtId="0" fontId="0" fillId="0" borderId="10" xfId="0" applyFill="1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167" fontId="0" fillId="0" borderId="0" xfId="4" applyNumberFormat="1" applyFont="1"/>
    <xf numFmtId="164" fontId="7" fillId="0" borderId="0" xfId="2" applyNumberFormat="1" applyAlignment="1">
      <alignment horizontal="center"/>
    </xf>
    <xf numFmtId="0" fontId="1" fillId="0" borderId="12" xfId="2" applyFont="1" applyBorder="1" applyAlignment="1">
      <alignment horizontal="center"/>
    </xf>
    <xf numFmtId="0" fontId="1" fillId="0" borderId="16" xfId="2" applyFont="1" applyBorder="1" applyAlignment="1">
      <alignment horizontal="center"/>
    </xf>
    <xf numFmtId="0" fontId="1" fillId="0" borderId="13" xfId="2" applyFont="1" applyBorder="1" applyAlignment="1">
      <alignment horizontal="center"/>
    </xf>
    <xf numFmtId="2" fontId="0" fillId="0" borderId="0" xfId="4" applyNumberFormat="1" applyFont="1"/>
    <xf numFmtId="0" fontId="7" fillId="0" borderId="13" xfId="2" applyBorder="1" applyAlignment="1">
      <alignment horizontal="center"/>
    </xf>
    <xf numFmtId="0" fontId="0" fillId="5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0" fontId="13" fillId="0" borderId="0" xfId="0" applyFont="1"/>
    <xf numFmtId="164" fontId="0" fillId="5" borderId="0" xfId="0" applyNumberFormat="1" applyFill="1"/>
    <xf numFmtId="165" fontId="0" fillId="5" borderId="0" xfId="0" applyNumberFormat="1" applyFill="1" applyAlignment="1">
      <alignment horizontal="center"/>
    </xf>
    <xf numFmtId="0" fontId="0" fillId="2" borderId="0" xfId="5" applyNumberFormat="1" applyFont="1" applyFill="1" applyBorder="1" applyAlignment="1">
      <alignment horizontal="center"/>
    </xf>
    <xf numFmtId="0" fontId="0" fillId="2" borderId="0" xfId="5" applyNumberFormat="1" applyFont="1" applyFill="1" applyBorder="1" applyAlignment="1">
      <alignment horizontal="right"/>
    </xf>
    <xf numFmtId="2" fontId="0" fillId="2" borderId="0" xfId="5" applyNumberFormat="1" applyFont="1" applyFill="1" applyBorder="1" applyAlignment="1">
      <alignment horizontal="right"/>
    </xf>
    <xf numFmtId="0" fontId="0" fillId="2" borderId="13" xfId="5" applyNumberFormat="1" applyFont="1" applyFill="1" applyBorder="1" applyAlignment="1">
      <alignment horizontal="right"/>
    </xf>
    <xf numFmtId="0" fontId="0" fillId="2" borderId="9" xfId="5" applyNumberFormat="1" applyFont="1" applyFill="1" applyBorder="1" applyAlignment="1">
      <alignment horizontal="right"/>
    </xf>
    <xf numFmtId="0" fontId="0" fillId="2" borderId="14" xfId="5" applyNumberFormat="1" applyFont="1" applyFill="1" applyBorder="1" applyAlignment="1">
      <alignment horizontal="right"/>
    </xf>
    <xf numFmtId="165" fontId="0" fillId="2" borderId="0" xfId="5" applyNumberFormat="1" applyFont="1" applyFill="1" applyBorder="1" applyAlignment="1">
      <alignment horizontal="center"/>
    </xf>
    <xf numFmtId="164" fontId="0" fillId="5" borderId="0" xfId="0" applyNumberFormat="1" applyFill="1" applyAlignment="1">
      <alignment horizontal="center"/>
    </xf>
    <xf numFmtId="165" fontId="0" fillId="2" borderId="35" xfId="5" applyNumberFormat="1" applyFont="1" applyFill="1" applyBorder="1" applyAlignment="1">
      <alignment horizontal="center"/>
    </xf>
    <xf numFmtId="165" fontId="0" fillId="2" borderId="37" xfId="5" applyNumberFormat="1" applyFont="1" applyFill="1" applyBorder="1" applyAlignment="1">
      <alignment horizontal="center"/>
    </xf>
    <xf numFmtId="165" fontId="0" fillId="2" borderId="36" xfId="5" applyNumberFormat="1" applyFont="1" applyFill="1" applyBorder="1" applyAlignment="1">
      <alignment horizontal="center"/>
    </xf>
    <xf numFmtId="1" fontId="0" fillId="2" borderId="0" xfId="5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Fill="1" applyBorder="1"/>
    <xf numFmtId="2" fontId="0" fillId="0" borderId="16" xfId="0" applyNumberFormat="1" applyFill="1" applyBorder="1"/>
    <xf numFmtId="2" fontId="0" fillId="0" borderId="13" xfId="0" applyNumberFormat="1" applyFill="1" applyBorder="1"/>
    <xf numFmtId="2" fontId="0" fillId="0" borderId="14" xfId="0" applyNumberFormat="1" applyFill="1" applyBorder="1"/>
    <xf numFmtId="165" fontId="0" fillId="0" borderId="35" xfId="0" applyNumberFormat="1" applyFill="1" applyBorder="1"/>
    <xf numFmtId="165" fontId="0" fillId="0" borderId="37" xfId="0" applyNumberFormat="1" applyFill="1" applyBorder="1"/>
    <xf numFmtId="165" fontId="0" fillId="0" borderId="36" xfId="0" applyNumberFormat="1" applyFill="1" applyBorder="1"/>
    <xf numFmtId="165" fontId="0" fillId="0" borderId="0" xfId="0" applyNumberFormat="1" applyAlignment="1">
      <alignment horizontal="center"/>
    </xf>
    <xf numFmtId="0" fontId="14" fillId="0" borderId="0" xfId="0" applyFont="1"/>
    <xf numFmtId="0" fontId="0" fillId="0" borderId="0" xfId="0" quotePrefix="1"/>
    <xf numFmtId="0" fontId="15" fillId="0" borderId="0" xfId="0" applyFont="1"/>
    <xf numFmtId="2" fontId="15" fillId="0" borderId="0" xfId="0" applyNumberFormat="1" applyFont="1"/>
    <xf numFmtId="0" fontId="0" fillId="0" borderId="0" xfId="0" quotePrefix="1" applyAlignment="1">
      <alignment horizontal="center"/>
    </xf>
    <xf numFmtId="2" fontId="7" fillId="0" borderId="0" xfId="2" applyNumberFormat="1" applyAlignment="1">
      <alignment horizontal="center"/>
    </xf>
    <xf numFmtId="0" fontId="0" fillId="5" borderId="0" xfId="0" applyFill="1" applyAlignment="1">
      <alignment horizontal="right"/>
    </xf>
    <xf numFmtId="0" fontId="7" fillId="0" borderId="0" xfId="2" applyFont="1" applyFill="1" applyBorder="1"/>
    <xf numFmtId="0" fontId="1" fillId="0" borderId="0" xfId="2" applyFont="1" applyAlignment="1">
      <alignment horizontal="left"/>
    </xf>
    <xf numFmtId="0" fontId="1" fillId="0" borderId="0" xfId="2" quotePrefix="1" applyFont="1" applyAlignment="1">
      <alignment horizontal="center"/>
    </xf>
    <xf numFmtId="1" fontId="0" fillId="0" borderId="0" xfId="0" applyNumberFormat="1" applyAlignment="1">
      <alignment horizontal="center"/>
    </xf>
    <xf numFmtId="0" fontId="7" fillId="0" borderId="0" xfId="2" applyAlignment="1">
      <alignment horizontal="left"/>
    </xf>
    <xf numFmtId="0" fontId="7" fillId="9" borderId="0" xfId="2" applyFill="1"/>
    <xf numFmtId="2" fontId="7" fillId="9" borderId="0" xfId="2" applyNumberFormat="1" applyFill="1"/>
    <xf numFmtId="0" fontId="7" fillId="0" borderId="0" xfId="2" applyFill="1" applyAlignment="1">
      <alignment horizontal="center"/>
    </xf>
    <xf numFmtId="2" fontId="1" fillId="0" borderId="0" xfId="2" applyNumberFormat="1" applyFont="1" applyAlignment="1">
      <alignment horizontal="center"/>
    </xf>
    <xf numFmtId="2" fontId="7" fillId="10" borderId="0" xfId="2" applyNumberFormat="1" applyFill="1"/>
    <xf numFmtId="0" fontId="0" fillId="10" borderId="0" xfId="0" applyFill="1" applyAlignment="1">
      <alignment horizontal="center"/>
    </xf>
    <xf numFmtId="0" fontId="0" fillId="9" borderId="22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166" fontId="17" fillId="0" borderId="15" xfId="2" applyNumberFormat="1" applyFont="1" applyFill="1" applyBorder="1"/>
    <xf numFmtId="166" fontId="17" fillId="0" borderId="11" xfId="2" applyNumberFormat="1" applyFont="1" applyBorder="1"/>
    <xf numFmtId="165" fontId="17" fillId="0" borderId="16" xfId="2" applyNumberFormat="1" applyFont="1" applyBorder="1"/>
    <xf numFmtId="0" fontId="17" fillId="0" borderId="11" xfId="2" applyFont="1" applyBorder="1"/>
    <xf numFmtId="0" fontId="17" fillId="0" borderId="11" xfId="2" applyFont="1" applyFill="1" applyBorder="1"/>
    <xf numFmtId="0" fontId="17" fillId="0" borderId="16" xfId="2" applyFont="1" applyBorder="1"/>
    <xf numFmtId="0" fontId="18" fillId="0" borderId="0" xfId="0" applyFont="1"/>
    <xf numFmtId="2" fontId="17" fillId="0" borderId="15" xfId="2" applyNumberFormat="1" applyFont="1" applyFill="1" applyBorder="1"/>
    <xf numFmtId="2" fontId="17" fillId="0" borderId="16" xfId="2" applyNumberFormat="1" applyFont="1" applyBorder="1"/>
    <xf numFmtId="2" fontId="17" fillId="0" borderId="0" xfId="2" applyNumberFormat="1" applyFont="1"/>
    <xf numFmtId="165" fontId="17" fillId="0" borderId="0" xfId="2" applyNumberFormat="1" applyFont="1"/>
    <xf numFmtId="166" fontId="17" fillId="0" borderId="12" xfId="2" applyNumberFormat="1" applyFont="1" applyFill="1" applyBorder="1"/>
    <xf numFmtId="166" fontId="17" fillId="0" borderId="0" xfId="2" applyNumberFormat="1" applyFont="1" applyBorder="1"/>
    <xf numFmtId="165" fontId="17" fillId="0" borderId="13" xfId="2" applyNumberFormat="1" applyFont="1" applyBorder="1"/>
    <xf numFmtId="0" fontId="17" fillId="0" borderId="0" xfId="2" applyFont="1" applyBorder="1"/>
    <xf numFmtId="0" fontId="17" fillId="0" borderId="0" xfId="2" applyFont="1" applyFill="1" applyBorder="1"/>
    <xf numFmtId="0" fontId="17" fillId="0" borderId="13" xfId="2" applyFont="1" applyBorder="1"/>
    <xf numFmtId="2" fontId="17" fillId="0" borderId="12" xfId="2" applyNumberFormat="1" applyFont="1" applyFill="1" applyBorder="1"/>
    <xf numFmtId="2" fontId="17" fillId="0" borderId="13" xfId="2" applyNumberFormat="1" applyFont="1" applyBorder="1"/>
    <xf numFmtId="166" fontId="17" fillId="0" borderId="10" xfId="2" applyNumberFormat="1" applyFont="1" applyFill="1" applyBorder="1"/>
    <xf numFmtId="166" fontId="17" fillId="0" borderId="9" xfId="2" applyNumberFormat="1" applyFont="1" applyBorder="1"/>
    <xf numFmtId="165" fontId="17" fillId="0" borderId="14" xfId="2" applyNumberFormat="1" applyFont="1" applyBorder="1"/>
    <xf numFmtId="0" fontId="17" fillId="0" borderId="9" xfId="2" applyFont="1" applyBorder="1"/>
    <xf numFmtId="0" fontId="17" fillId="0" borderId="9" xfId="2" applyFont="1" applyFill="1" applyBorder="1"/>
    <xf numFmtId="0" fontId="17" fillId="0" borderId="14" xfId="2" applyFont="1" applyBorder="1"/>
    <xf numFmtId="2" fontId="17" fillId="0" borderId="10" xfId="2" applyNumberFormat="1" applyFont="1" applyFill="1" applyBorder="1"/>
    <xf numFmtId="2" fontId="17" fillId="0" borderId="14" xfId="2" applyNumberFormat="1" applyFont="1" applyBorder="1"/>
    <xf numFmtId="0" fontId="7" fillId="0" borderId="0" xfId="2" applyBorder="1" applyAlignment="1">
      <alignment horizontal="center"/>
    </xf>
    <xf numFmtId="0" fontId="0" fillId="11" borderId="0" xfId="5" applyNumberFormat="1" applyFont="1" applyFill="1" applyBorder="1" applyAlignment="1">
      <alignment horizontal="center"/>
    </xf>
    <xf numFmtId="1" fontId="0" fillId="11" borderId="0" xfId="5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2" fontId="0" fillId="2" borderId="0" xfId="5" applyNumberFormat="1" applyFont="1" applyFill="1" applyBorder="1" applyAlignment="1">
      <alignment horizontal="center"/>
    </xf>
    <xf numFmtId="164" fontId="16" fillId="0" borderId="0" xfId="5" applyNumberFormat="1" applyFont="1" applyFill="1" applyBorder="1" applyAlignment="1">
      <alignment horizontal="center"/>
    </xf>
    <xf numFmtId="1" fontId="0" fillId="5" borderId="0" xfId="0" applyNumberFormat="1" applyFill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2" fillId="0" borderId="4" xfId="1" applyFont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0" fontId="2" fillId="0" borderId="5" xfId="1" applyFont="1" applyBorder="1" applyAlignment="1">
      <alignment horizontal="left" vertical="center" wrapText="1"/>
    </xf>
    <xf numFmtId="0" fontId="10" fillId="0" borderId="30" xfId="3" applyFont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0" fillId="0" borderId="31" xfId="3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39" xfId="0" applyFill="1" applyBorder="1" applyAlignment="1">
      <alignment horizontal="center"/>
    </xf>
  </cellXfs>
  <cellStyles count="10">
    <cellStyle name="Comma 2" xfId="6"/>
    <cellStyle name="Comma 3" xfId="7"/>
    <cellStyle name="Currency 2" xfId="8"/>
    <cellStyle name="Normal" xfId="0" builtinId="0"/>
    <cellStyle name="Normal 2" xfId="1"/>
    <cellStyle name="Normal 3" xfId="2"/>
    <cellStyle name="Normal 4" xfId="3"/>
    <cellStyle name="Normal 5" xfId="9"/>
    <cellStyle name="Percent" xfId="4" builtinId="5"/>
    <cellStyle name="Percent 2" xfId="5"/>
  </cellStyles>
  <dxfs count="4"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4.xml"/><Relationship Id="rId26" Type="http://schemas.openxmlformats.org/officeDocument/2006/relationships/worksheet" Target="worksheets/sheet16.xml"/><Relationship Id="rId39" Type="http://schemas.openxmlformats.org/officeDocument/2006/relationships/worksheet" Target="worksheets/sheet29.xml"/><Relationship Id="rId21" Type="http://schemas.openxmlformats.org/officeDocument/2006/relationships/chartsheet" Target="chartsheets/sheet7.xml"/><Relationship Id="rId34" Type="http://schemas.openxmlformats.org/officeDocument/2006/relationships/worksheet" Target="worksheets/sheet24.xml"/><Relationship Id="rId42" Type="http://schemas.openxmlformats.org/officeDocument/2006/relationships/worksheet" Target="worksheets/sheet3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3.xml"/><Relationship Id="rId25" Type="http://schemas.openxmlformats.org/officeDocument/2006/relationships/worksheet" Target="worksheets/sheet15.xml"/><Relationship Id="rId33" Type="http://schemas.openxmlformats.org/officeDocument/2006/relationships/worksheet" Target="worksheets/sheet23.xml"/><Relationship Id="rId38" Type="http://schemas.openxmlformats.org/officeDocument/2006/relationships/worksheet" Target="worksheets/sheet2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chartsheet" Target="chartsheets/sheet6.xml"/><Relationship Id="rId29" Type="http://schemas.openxmlformats.org/officeDocument/2006/relationships/worksheet" Target="worksheets/sheet19.xml"/><Relationship Id="rId41" Type="http://schemas.openxmlformats.org/officeDocument/2006/relationships/worksheet" Target="worksheets/sheet31.xml"/><Relationship Id="rId54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10.xml"/><Relationship Id="rId32" Type="http://schemas.openxmlformats.org/officeDocument/2006/relationships/worksheet" Target="worksheets/sheet22.xml"/><Relationship Id="rId37" Type="http://schemas.openxmlformats.org/officeDocument/2006/relationships/worksheet" Target="worksheets/sheet27.xml"/><Relationship Id="rId40" Type="http://schemas.openxmlformats.org/officeDocument/2006/relationships/worksheet" Target="worksheets/sheet30.xml"/><Relationship Id="rId45" Type="http://schemas.openxmlformats.org/officeDocument/2006/relationships/worksheet" Target="worksheets/sheet35.xml"/><Relationship Id="rId53" Type="http://schemas.openxmlformats.org/officeDocument/2006/relationships/externalLink" Target="externalLinks/externalLink8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.xml"/><Relationship Id="rId23" Type="http://schemas.openxmlformats.org/officeDocument/2006/relationships/chartsheet" Target="chartsheets/sheet9.xml"/><Relationship Id="rId28" Type="http://schemas.openxmlformats.org/officeDocument/2006/relationships/worksheet" Target="worksheets/sheet18.xml"/><Relationship Id="rId36" Type="http://schemas.openxmlformats.org/officeDocument/2006/relationships/worksheet" Target="worksheets/sheet26.xml"/><Relationship Id="rId49" Type="http://schemas.openxmlformats.org/officeDocument/2006/relationships/externalLink" Target="externalLinks/externalLink4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5.xml"/><Relationship Id="rId31" Type="http://schemas.openxmlformats.org/officeDocument/2006/relationships/worksheet" Target="worksheets/sheet21.xml"/><Relationship Id="rId44" Type="http://schemas.openxmlformats.org/officeDocument/2006/relationships/worksheet" Target="worksheets/sheet34.xml"/><Relationship Id="rId52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8.xml"/><Relationship Id="rId27" Type="http://schemas.openxmlformats.org/officeDocument/2006/relationships/worksheet" Target="worksheets/sheet17.xml"/><Relationship Id="rId30" Type="http://schemas.openxmlformats.org/officeDocument/2006/relationships/worksheet" Target="worksheets/sheet20.xml"/><Relationship Id="rId35" Type="http://schemas.openxmlformats.org/officeDocument/2006/relationships/worksheet" Target="worksheets/sheet25.xml"/><Relationship Id="rId43" Type="http://schemas.openxmlformats.org/officeDocument/2006/relationships/worksheet" Target="worksheets/sheet33.xml"/><Relationship Id="rId48" Type="http://schemas.openxmlformats.org/officeDocument/2006/relationships/externalLink" Target="externalLinks/externalLink3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circle"/>
            <c:size val="4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rgbClr val="EEECE1">
                    <a:lumMod val="25000"/>
                  </a:srgbClr>
                </a:solidFill>
              </a:ln>
            </c:spPr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-63.246769080712021</c:v>
                </c:pt>
                <c:pt idx="1">
                  <c:v>-56.413057398900058</c:v>
                </c:pt>
                <c:pt idx="2">
                  <c:v>-49.579345717088096</c:v>
                </c:pt>
                <c:pt idx="3">
                  <c:v>-42.745634035276133</c:v>
                </c:pt>
                <c:pt idx="4">
                  <c:v>-35.91192235346417</c:v>
                </c:pt>
                <c:pt idx="5">
                  <c:v>-29.078210671652208</c:v>
                </c:pt>
                <c:pt idx="6">
                  <c:v>-22.244498989840245</c:v>
                </c:pt>
                <c:pt idx="7">
                  <c:v>-15.410787308028283</c:v>
                </c:pt>
                <c:pt idx="8">
                  <c:v>-8.5770756262163204</c:v>
                </c:pt>
                <c:pt idx="9">
                  <c:v>-1.7433639444043578</c:v>
                </c:pt>
                <c:pt idx="10">
                  <c:v>5.0903477374075976</c:v>
                </c:pt>
                <c:pt idx="11">
                  <c:v>0</c:v>
                </c:pt>
                <c:pt idx="12" formatCode="0.00">
                  <c:v>-1.1323427195776656</c:v>
                </c:pt>
                <c:pt idx="13" formatCode="0.00">
                  <c:v>-2.2646854391553313</c:v>
                </c:pt>
                <c:pt idx="14" formatCode="0.00">
                  <c:v>-3.3970281587329967</c:v>
                </c:pt>
                <c:pt idx="15" formatCode="0.00">
                  <c:v>-23.718351707221874</c:v>
                </c:pt>
                <c:pt idx="16" formatCode="0.00">
                  <c:v>-47.436703414443748</c:v>
                </c:pt>
                <c:pt idx="17" formatCode="0.00">
                  <c:v>-74.55208328039862</c:v>
                </c:pt>
                <c:pt idx="18" formatCode="0.00">
                  <c:v>-83.119452093876717</c:v>
                </c:pt>
                <c:pt idx="19" formatCode="0.00">
                  <c:v>-91.679832335183647</c:v>
                </c:pt>
                <c:pt idx="20" formatCode="0.00">
                  <c:v>-100.22624113286477</c:v>
                </c:pt>
                <c:pt idx="21" formatCode="0.00">
                  <c:v>-108.75170701224835</c:v>
                </c:pt>
                <c:pt idx="22" formatCode="0.00">
                  <c:v>-126.3061894202522</c:v>
                </c:pt>
                <c:pt idx="23">
                  <c:v>-126.49353816142404</c:v>
                </c:pt>
                <c:pt idx="24" formatCode="0.00">
                  <c:v>-127.47337501735782</c:v>
                </c:pt>
                <c:pt idx="25" formatCode="0.000">
                  <c:v>-121.05071442369319</c:v>
                </c:pt>
                <c:pt idx="26" formatCode="0.000">
                  <c:v>-114.62805383002862</c:v>
                </c:pt>
                <c:pt idx="27" formatCode="0.000">
                  <c:v>-108.20539323636405</c:v>
                </c:pt>
                <c:pt idx="28" formatCode="0.000">
                  <c:v>-101.78273264269947</c:v>
                </c:pt>
                <c:pt idx="29" formatCode="0.000">
                  <c:v>-95.360072049034898</c:v>
                </c:pt>
                <c:pt idx="30" formatCode="0.000">
                  <c:v>-88.937411455370324</c:v>
                </c:pt>
                <c:pt idx="31" formatCode="0.000">
                  <c:v>-82.51475086170575</c:v>
                </c:pt>
                <c:pt idx="32" formatCode="0.000">
                  <c:v>-76.092090268041176</c:v>
                </c:pt>
                <c:pt idx="33" formatCode="0.000">
                  <c:v>-69.669429674376602</c:v>
                </c:pt>
                <c:pt idx="34">
                  <c:v>-63.246769080712021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8.9612289685442565</c:v>
                </c:pt>
                <c:pt idx="1">
                  <c:v>8.992473468544258</c:v>
                </c:pt>
                <c:pt idx="2">
                  <c:v>9.0869969685442573</c:v>
                </c:pt>
                <c:pt idx="3">
                  <c:v>9.244799468544258</c:v>
                </c:pt>
                <c:pt idx="4">
                  <c:v>9.4658809685442566</c:v>
                </c:pt>
                <c:pt idx="5">
                  <c:v>9.7502414685442567</c:v>
                </c:pt>
                <c:pt idx="6">
                  <c:v>10.097880968544258</c:v>
                </c:pt>
                <c:pt idx="7">
                  <c:v>10.508799468544256</c:v>
                </c:pt>
                <c:pt idx="8">
                  <c:v>10.982996968544258</c:v>
                </c:pt>
                <c:pt idx="9">
                  <c:v>11.520473468544258</c:v>
                </c:pt>
                <c:pt idx="10">
                  <c:v>12.121228968544258</c:v>
                </c:pt>
                <c:pt idx="11">
                  <c:v>4.8514589937413639</c:v>
                </c:pt>
                <c:pt idx="12">
                  <c:v>3.2343059958275759</c:v>
                </c:pt>
                <c:pt idx="13">
                  <c:v>1.617152997913788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0.12235796643017238</c:v>
                </c:pt>
                <c:pt idx="19">
                  <c:v>0.48933205590770967</c:v>
                </c:pt>
                <c:pt idx="20">
                  <c:v>1.1006229204104443</c:v>
                </c:pt>
                <c:pt idx="21">
                  <c:v>1.9557319178912849</c:v>
                </c:pt>
                <c:pt idx="22">
                  <c:v>3.9700524650514581</c:v>
                </c:pt>
                <c:pt idx="23">
                  <c:v>4.8514589937413639</c:v>
                </c:pt>
                <c:pt idx="24">
                  <c:v>9.4612289685442565</c:v>
                </c:pt>
                <c:pt idx="25">
                  <c:v>9.4112289685442629</c:v>
                </c:pt>
                <c:pt idx="26">
                  <c:v>9.3612289685442622</c:v>
                </c:pt>
                <c:pt idx="27">
                  <c:v>9.3112289685442615</c:v>
                </c:pt>
                <c:pt idx="28">
                  <c:v>9.2612289685442608</c:v>
                </c:pt>
                <c:pt idx="29">
                  <c:v>9.2112289685442601</c:v>
                </c:pt>
                <c:pt idx="30">
                  <c:v>9.1612289685442594</c:v>
                </c:pt>
                <c:pt idx="31">
                  <c:v>9.1112289685442587</c:v>
                </c:pt>
                <c:pt idx="32">
                  <c:v>9.061228968544258</c:v>
                </c:pt>
                <c:pt idx="33">
                  <c:v>9.0112289685442573</c:v>
                </c:pt>
                <c:pt idx="34">
                  <c:v>8.9612289685442565</c:v>
                </c:pt>
              </c:numCache>
            </c:numRef>
          </c:yVal>
          <c:smooth val="0"/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-126.49353816142404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4.8514589937413639</c:v>
                </c:pt>
                <c:pt idx="1">
                  <c:v>4.8514589937413639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-3.3970281587329967</c:v>
                </c:pt>
                <c:pt idx="1">
                  <c:v>-3.3970281587329967</c:v>
                </c:pt>
                <c:pt idx="2">
                  <c:v>-3.3970281587329967</c:v>
                </c:pt>
                <c:pt idx="3">
                  <c:v>-5.3970281587329971</c:v>
                </c:pt>
                <c:pt idx="4">
                  <c:v>-8.434428158732997</c:v>
                </c:pt>
                <c:pt idx="5">
                  <c:v>-9.3240281587329967</c:v>
                </c:pt>
                <c:pt idx="6">
                  <c:v>-19.117628158732995</c:v>
                </c:pt>
                <c:pt idx="7">
                  <c:v>-19.866528158732997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-1.0114000000000001</c:v>
                </c:pt>
                <c:pt idx="3">
                  <c:v>-3.0114000000000001</c:v>
                </c:pt>
                <c:pt idx="4">
                  <c:v>-3.0114000000000001</c:v>
                </c:pt>
                <c:pt idx="5">
                  <c:v>-2.9316</c:v>
                </c:pt>
                <c:pt idx="6">
                  <c:v>-1.1608000000000001</c:v>
                </c:pt>
                <c:pt idx="7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v>Ref Lines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'Profile Calcs'!$P$27:$P$34</c:f>
              <c:numCache>
                <c:formatCode>0.00</c:formatCode>
                <c:ptCount val="8"/>
                <c:pt idx="0">
                  <c:v>-63.246769080712021</c:v>
                </c:pt>
                <c:pt idx="1">
                  <c:v>2.8776919166649146</c:v>
                </c:pt>
                <c:pt idx="2">
                  <c:v>0</c:v>
                </c:pt>
                <c:pt idx="3">
                  <c:v>-3.3970281587329967</c:v>
                </c:pt>
                <c:pt idx="4">
                  <c:v>-91.707815167032422</c:v>
                </c:pt>
                <c:pt idx="5">
                  <c:v>-126.3061894202522</c:v>
                </c:pt>
                <c:pt idx="6">
                  <c:v>-127.36709673652281</c:v>
                </c:pt>
                <c:pt idx="7">
                  <c:v>-63.246769080712021</c:v>
                </c:pt>
              </c:numCache>
            </c:numRef>
          </c:xVal>
          <c:yVal>
            <c:numRef>
              <c:f>'Profile Calcs'!$Q$27:$Q$34</c:f>
              <c:numCache>
                <c:formatCode>0.00</c:formatCode>
                <c:ptCount val="8"/>
                <c:pt idx="0">
                  <c:v>8.9612289685442565</c:v>
                </c:pt>
                <c:pt idx="1">
                  <c:v>8.9612289685442565</c:v>
                </c:pt>
                <c:pt idx="2">
                  <c:v>4.8514589937413639</c:v>
                </c:pt>
                <c:pt idx="3">
                  <c:v>0</c:v>
                </c:pt>
                <c:pt idx="4">
                  <c:v>0</c:v>
                </c:pt>
                <c:pt idx="5">
                  <c:v>3.9700524650514581</c:v>
                </c:pt>
                <c:pt idx="6">
                  <c:v>8.9612289685442565</c:v>
                </c:pt>
                <c:pt idx="7">
                  <c:v>8.9612289685442565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37152"/>
        <c:axId val="111538944"/>
      </c:scatterChart>
      <c:valAx>
        <c:axId val="111537152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538944"/>
        <c:crossesAt val="-250"/>
        <c:crossBetween val="midCat"/>
        <c:majorUnit val="25"/>
      </c:valAx>
      <c:valAx>
        <c:axId val="111538944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11537152"/>
        <c:crossesAt val="-250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8884881243573732"/>
          <c:y val="0.86905095196433779"/>
          <c:w val="0.22085452931707217"/>
          <c:h val="9.523851185268505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784684045334533E-2"/>
          <c:y val="6.3525474616219421E-2"/>
          <c:w val="0.84513443288922274"/>
          <c:h val="0.800364298724954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Sections!$A$31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-5.2937166452104896E-2</c:v>
                </c:pt>
                <c:pt idx="2">
                  <c:v>-0.16544872632776214</c:v>
                </c:pt>
                <c:pt idx="3">
                  <c:v>-0.2859545022834683</c:v>
                </c:pt>
                <c:pt idx="4">
                  <c:v>-0.41345969721352932</c:v>
                </c:pt>
                <c:pt idx="5">
                  <c:v>-0.61575445675841423</c:v>
                </c:pt>
                <c:pt idx="6">
                  <c:v>-0.97484699466596947</c:v>
                </c:pt>
                <c:pt idx="7">
                  <c:v>-1.3500947272724113</c:v>
                </c:pt>
                <c:pt idx="8">
                  <c:v>-2.103583621772787</c:v>
                </c:pt>
                <c:pt idx="9">
                  <c:v>-2.7994316308926606</c:v>
                </c:pt>
                <c:pt idx="10">
                  <c:v>-3.3834969256674712</c:v>
                </c:pt>
                <c:pt idx="11">
                  <c:v>-3.8242853575349827</c:v>
                </c:pt>
                <c:pt idx="12">
                  <c:v>-4.1129504583352805</c:v>
                </c:pt>
                <c:pt idx="13">
                  <c:v>-4.2632934403107807</c:v>
                </c:pt>
                <c:pt idx="14">
                  <c:v>-4.3117631961061811</c:v>
                </c:pt>
                <c:pt idx="15">
                  <c:v>-4.3174562987685938</c:v>
                </c:pt>
                <c:pt idx="16">
                  <c:v>-4.4193017708410149</c:v>
                </c:pt>
                <c:pt idx="17">
                  <c:v>-4.4660287061590669</c:v>
                </c:pt>
                <c:pt idx="18">
                  <c:v>-4.4576371047227505</c:v>
                </c:pt>
                <c:pt idx="19">
                  <c:v>-4.394126966532065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3.9920961237765931</c:v>
                </c:pt>
                <c:pt idx="1">
                  <c:v>4.0006897524762408</c:v>
                </c:pt>
                <c:pt idx="2">
                  <c:v>4.0178770098755363</c:v>
                </c:pt>
                <c:pt idx="3">
                  <c:v>4.0350642672748318</c:v>
                </c:pt>
                <c:pt idx="4">
                  <c:v>4.0522515246741273</c:v>
                </c:pt>
                <c:pt idx="5">
                  <c:v>4.0780324107730701</c:v>
                </c:pt>
                <c:pt idx="6">
                  <c:v>4.1210005542713084</c:v>
                </c:pt>
                <c:pt idx="7">
                  <c:v>4.1639686977695476</c:v>
                </c:pt>
                <c:pt idx="8">
                  <c:v>4.2499049847660242</c:v>
                </c:pt>
                <c:pt idx="9">
                  <c:v>4.3358412717625017</c:v>
                </c:pt>
                <c:pt idx="10">
                  <c:v>4.4217775587589783</c:v>
                </c:pt>
                <c:pt idx="11">
                  <c:v>4.5077138457554558</c:v>
                </c:pt>
                <c:pt idx="12">
                  <c:v>4.5936501327519323</c:v>
                </c:pt>
                <c:pt idx="13">
                  <c:v>4.6795864197484098</c:v>
                </c:pt>
                <c:pt idx="14">
                  <c:v>4.7655227067448864</c:v>
                </c:pt>
                <c:pt idx="15">
                  <c:v>4.8514589937413639</c:v>
                </c:pt>
                <c:pt idx="16">
                  <c:v>6.0019944988356464</c:v>
                </c:pt>
                <c:pt idx="17">
                  <c:v>7.1525300039299289</c:v>
                </c:pt>
                <c:pt idx="18">
                  <c:v>8.3030655090242114</c:v>
                </c:pt>
                <c:pt idx="19">
                  <c:v>9.4536010141184939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Sections!$A$32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xVal>
            <c:numRef>
              <c:f>'Section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-4.8388364445049466E-2</c:v>
                </c:pt>
                <c:pt idx="2">
                  <c:v>-0.15447795553391994</c:v>
                </c:pt>
                <c:pt idx="3">
                  <c:v>-0.27188146294275328</c:v>
                </c:pt>
                <c:pt idx="4">
                  <c:v>-0.39931563862409036</c:v>
                </c:pt>
                <c:pt idx="5">
                  <c:v>-0.60658157723434158</c:v>
                </c:pt>
                <c:pt idx="6">
                  <c:v>-0.98531933859008525</c:v>
                </c:pt>
                <c:pt idx="7">
                  <c:v>-1.3911276662351226</c:v>
                </c:pt>
                <c:pt idx="8">
                  <c:v>-2.2251573148426997</c:v>
                </c:pt>
                <c:pt idx="9">
                  <c:v>-3.0092123470544858</c:v>
                </c:pt>
                <c:pt idx="10">
                  <c:v>-3.6728573630249404</c:v>
                </c:pt>
                <c:pt idx="11">
                  <c:v>-4.1746797390655823</c:v>
                </c:pt>
                <c:pt idx="12">
                  <c:v>-4.5022896276449833</c:v>
                </c:pt>
                <c:pt idx="13">
                  <c:v>-4.672319957388769</c:v>
                </c:pt>
                <c:pt idx="14">
                  <c:v>-4.7304264330795851</c:v>
                </c:pt>
                <c:pt idx="15">
                  <c:v>-4.7512875356572248</c:v>
                </c:pt>
                <c:pt idx="16">
                  <c:v>-4.9467879594941753</c:v>
                </c:pt>
                <c:pt idx="17">
                  <c:v>-5.044449322894426</c:v>
                </c:pt>
                <c:pt idx="18">
                  <c:v>-5.0442716258579754</c:v>
                </c:pt>
                <c:pt idx="19">
                  <c:v>-4.9462548683848251</c:v>
                </c:pt>
              </c:numCache>
            </c:numRef>
          </c:xVal>
          <c:yVal>
            <c:numRef>
              <c:f>'Section Calcs'!$V$32:$AO$32</c:f>
              <c:numCache>
                <c:formatCode>0.00</c:formatCode>
                <c:ptCount val="20"/>
                <c:pt idx="0">
                  <c:v>3.2501121381991185</c:v>
                </c:pt>
                <c:pt idx="1">
                  <c:v>3.266125606754541</c:v>
                </c:pt>
                <c:pt idx="2">
                  <c:v>3.298152543865386</c:v>
                </c:pt>
                <c:pt idx="3">
                  <c:v>3.3301794809762306</c:v>
                </c:pt>
                <c:pt idx="4">
                  <c:v>3.3622064180870757</c:v>
                </c:pt>
                <c:pt idx="5">
                  <c:v>3.4102468237533432</c:v>
                </c:pt>
                <c:pt idx="6">
                  <c:v>3.4903141665304553</c:v>
                </c:pt>
                <c:pt idx="7">
                  <c:v>3.5703815093075675</c:v>
                </c:pt>
                <c:pt idx="8">
                  <c:v>3.7305161948617922</c:v>
                </c:pt>
                <c:pt idx="9">
                  <c:v>3.8906508804160165</c:v>
                </c:pt>
                <c:pt idx="10">
                  <c:v>4.0507855659702408</c:v>
                </c:pt>
                <c:pt idx="11">
                  <c:v>4.2109202515244659</c:v>
                </c:pt>
                <c:pt idx="12">
                  <c:v>4.3710549370786902</c:v>
                </c:pt>
                <c:pt idx="13">
                  <c:v>4.5311896226329145</c:v>
                </c:pt>
                <c:pt idx="14">
                  <c:v>4.6913243081871396</c:v>
                </c:pt>
                <c:pt idx="15">
                  <c:v>4.8514589937413639</c:v>
                </c:pt>
                <c:pt idx="16">
                  <c:v>5.9896851881849322</c:v>
                </c:pt>
                <c:pt idx="17">
                  <c:v>7.1279113826284997</c:v>
                </c:pt>
                <c:pt idx="18">
                  <c:v>8.2661375770720671</c:v>
                </c:pt>
                <c:pt idx="19">
                  <c:v>9.4043637715156354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Sections!$A$33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xVal>
            <c:numRef>
              <c:f>'Section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-7.0158490027806206E-2</c:v>
                </c:pt>
                <c:pt idx="2">
                  <c:v>-0.21745205342341509</c:v>
                </c:pt>
                <c:pt idx="3">
                  <c:v>-0.37305788242557142</c:v>
                </c:pt>
                <c:pt idx="4">
                  <c:v>-0.5358264788287801</c:v>
                </c:pt>
                <c:pt idx="5">
                  <c:v>-0.79100279989097455</c:v>
                </c:pt>
                <c:pt idx="6">
                  <c:v>-1.2370712307679004</c:v>
                </c:pt>
                <c:pt idx="7">
                  <c:v>-1.6962102074745526</c:v>
                </c:pt>
                <c:pt idx="8">
                  <c:v>-2.6020406982823925</c:v>
                </c:pt>
                <c:pt idx="9">
                  <c:v>-3.422281612590325</c:v>
                </c:pt>
                <c:pt idx="10">
                  <c:v>-4.0980891554183438</c:v>
                </c:pt>
                <c:pt idx="11">
                  <c:v>-4.5979883965306128</c:v>
                </c:pt>
                <c:pt idx="12">
                  <c:v>-4.9178732704354671</c:v>
                </c:pt>
                <c:pt idx="13">
                  <c:v>-5.0810065763854126</c:v>
                </c:pt>
                <c:pt idx="14">
                  <c:v>-5.1380199783770877</c:v>
                </c:pt>
                <c:pt idx="15">
                  <c:v>-5.1669140051513978</c:v>
                </c:pt>
                <c:pt idx="16">
                  <c:v>-5.3591453077745523</c:v>
                </c:pt>
                <c:pt idx="17">
                  <c:v>-5.474947420612696</c:v>
                </c:pt>
                <c:pt idx="18">
                  <c:v>-5.5143203436658315</c:v>
                </c:pt>
                <c:pt idx="19">
                  <c:v>-5.4772640769339551</c:v>
                </c:pt>
              </c:numCache>
            </c:numRef>
          </c:xVal>
          <c:yVal>
            <c:numRef>
              <c:f>'Section Calcs'!$V$38:$AO$38</c:f>
              <c:numCache>
                <c:formatCode>0.00</c:formatCode>
                <c:ptCount val="20"/>
                <c:pt idx="0">
                  <c:v>2.5220602308173645</c:v>
                </c:pt>
                <c:pt idx="1">
                  <c:v>2.5453542184466045</c:v>
                </c:pt>
                <c:pt idx="2">
                  <c:v>2.5919421937050844</c:v>
                </c:pt>
                <c:pt idx="3">
                  <c:v>2.6385301689635643</c:v>
                </c:pt>
                <c:pt idx="4">
                  <c:v>2.6851181442220446</c:v>
                </c:pt>
                <c:pt idx="5">
                  <c:v>2.7550001071097645</c:v>
                </c:pt>
                <c:pt idx="6">
                  <c:v>2.8714700452559643</c:v>
                </c:pt>
                <c:pt idx="7">
                  <c:v>2.9879399834021645</c:v>
                </c:pt>
                <c:pt idx="8">
                  <c:v>3.2208798596945645</c:v>
                </c:pt>
                <c:pt idx="9">
                  <c:v>3.4538197359869645</c:v>
                </c:pt>
                <c:pt idx="10">
                  <c:v>3.6867596122793644</c:v>
                </c:pt>
                <c:pt idx="11">
                  <c:v>3.919699488571764</c:v>
                </c:pt>
                <c:pt idx="12">
                  <c:v>4.1526393648641644</c:v>
                </c:pt>
                <c:pt idx="13">
                  <c:v>4.3855792411565639</c:v>
                </c:pt>
                <c:pt idx="14">
                  <c:v>4.6185191174489635</c:v>
                </c:pt>
                <c:pt idx="15">
                  <c:v>4.8514589937413639</c:v>
                </c:pt>
                <c:pt idx="16">
                  <c:v>5.9773759150470989</c:v>
                </c:pt>
                <c:pt idx="17">
                  <c:v>7.1032928363528338</c:v>
                </c:pt>
                <c:pt idx="18">
                  <c:v>8.2292097576585697</c:v>
                </c:pt>
                <c:pt idx="19">
                  <c:v>9.3551266789643037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Sections!$A$34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xVal>
            <c:numRef>
              <c:f>'Section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-8.804020579233697E-2</c:v>
                </c:pt>
                <c:pt idx="2">
                  <c:v>-0.26923778478322219</c:v>
                </c:pt>
                <c:pt idx="3">
                  <c:v>-0.45637151278810661</c:v>
                </c:pt>
                <c:pt idx="4">
                  <c:v>-0.64841270590986111</c:v>
                </c:pt>
                <c:pt idx="5">
                  <c:v>-0.94352532360668073</c:v>
                </c:pt>
                <c:pt idx="6">
                  <c:v>-1.4464946570633774</c:v>
                </c:pt>
                <c:pt idx="7">
                  <c:v>-1.9518933241948586</c:v>
                </c:pt>
                <c:pt idx="8">
                  <c:v>-2.9243368357738184</c:v>
                </c:pt>
                <c:pt idx="9">
                  <c:v>-3.7853780752168924</c:v>
                </c:pt>
                <c:pt idx="10">
                  <c:v>-4.4848286422614541</c:v>
                </c:pt>
                <c:pt idx="11">
                  <c:v>-4.9977895195089221</c:v>
                </c:pt>
                <c:pt idx="12">
                  <c:v>-5.3246510724247642</c:v>
                </c:pt>
                <c:pt idx="13">
                  <c:v>-5.4910930493384935</c:v>
                </c:pt>
                <c:pt idx="14">
                  <c:v>-5.5480845814436295</c:v>
                </c:pt>
                <c:pt idx="15">
                  <c:v>-5.5718841827978496</c:v>
                </c:pt>
                <c:pt idx="16">
                  <c:v>-5.7030009954231096</c:v>
                </c:pt>
                <c:pt idx="17">
                  <c:v>-5.8099926618499156</c:v>
                </c:pt>
                <c:pt idx="18">
                  <c:v>-5.8928591820782641</c:v>
                </c:pt>
                <c:pt idx="19">
                  <c:v>-5.9516005561081613</c:v>
                </c:pt>
              </c:numCache>
            </c:numRef>
          </c:xVal>
          <c:yVal>
            <c:numRef>
              <c:f>'Section Calcs'!$V$44:$AO$44</c:f>
              <c:numCache>
                <c:formatCode>0.00</c:formatCode>
                <c:ptCount val="20"/>
                <c:pt idx="0">
                  <c:v>1.822392570788296</c:v>
                </c:pt>
                <c:pt idx="1">
                  <c:v>1.8526832350178266</c:v>
                </c:pt>
                <c:pt idx="2">
                  <c:v>1.9132645634768881</c:v>
                </c:pt>
                <c:pt idx="3">
                  <c:v>1.9738458919359494</c:v>
                </c:pt>
                <c:pt idx="4">
                  <c:v>2.0344272203950107</c:v>
                </c:pt>
                <c:pt idx="5">
                  <c:v>2.1252992130836028</c:v>
                </c:pt>
                <c:pt idx="6">
                  <c:v>2.2767525342312562</c:v>
                </c:pt>
                <c:pt idx="7">
                  <c:v>2.4282058553789096</c:v>
                </c:pt>
                <c:pt idx="8">
                  <c:v>2.731112497674216</c:v>
                </c:pt>
                <c:pt idx="9">
                  <c:v>3.0340191399695233</c:v>
                </c:pt>
                <c:pt idx="10">
                  <c:v>3.3369257822648297</c:v>
                </c:pt>
                <c:pt idx="11">
                  <c:v>3.6398324245601366</c:v>
                </c:pt>
                <c:pt idx="12">
                  <c:v>3.9427390668554434</c:v>
                </c:pt>
                <c:pt idx="13">
                  <c:v>4.2456457091507502</c:v>
                </c:pt>
                <c:pt idx="14">
                  <c:v>4.5485523514460571</c:v>
                </c:pt>
                <c:pt idx="15">
                  <c:v>4.8514589937413639</c:v>
                </c:pt>
                <c:pt idx="16">
                  <c:v>5.9650665258665985</c:v>
                </c:pt>
                <c:pt idx="17">
                  <c:v>7.078674057991833</c:v>
                </c:pt>
                <c:pt idx="18">
                  <c:v>8.1922815901170676</c:v>
                </c:pt>
                <c:pt idx="19">
                  <c:v>9.3058891222423021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Sections!$A$35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xVal>
            <c:numRef>
              <c:f>'Section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-0.10208689805996866</c:v>
                </c:pt>
                <c:pt idx="2">
                  <c:v>-0.31001397090694477</c:v>
                </c:pt>
                <c:pt idx="3">
                  <c:v>-0.52214686961074364</c:v>
                </c:pt>
                <c:pt idx="4">
                  <c:v>-0.73755949835285617</c:v>
                </c:pt>
                <c:pt idx="5">
                  <c:v>-1.0648925392002133</c:v>
                </c:pt>
                <c:pt idx="6">
                  <c:v>-1.614771633996865</c:v>
                </c:pt>
                <c:pt idx="7">
                  <c:v>-2.1597543112186832</c:v>
                </c:pt>
                <c:pt idx="8">
                  <c:v>-3.1940887017573534</c:v>
                </c:pt>
                <c:pt idx="9">
                  <c:v>-4.1003676083505454</c:v>
                </c:pt>
                <c:pt idx="10">
                  <c:v>-4.8340314403649538</c:v>
                </c:pt>
                <c:pt idx="11">
                  <c:v>-5.373489118999653</c:v>
                </c:pt>
                <c:pt idx="12">
                  <c:v>-5.720118077286096</c:v>
                </c:pt>
                <c:pt idx="13">
                  <c:v>-5.8982642600881148</c:v>
                </c:pt>
                <c:pt idx="14">
                  <c:v>-5.955242124101872</c:v>
                </c:pt>
                <c:pt idx="15">
                  <c:v>-5.9613346378560355</c:v>
                </c:pt>
                <c:pt idx="16">
                  <c:v>-6.0078110847665283</c:v>
                </c:pt>
                <c:pt idx="17">
                  <c:v>-6.0882168120116846</c:v>
                </c:pt>
                <c:pt idx="18">
                  <c:v>-6.2025518195915028</c:v>
                </c:pt>
                <c:pt idx="19">
                  <c:v>-6.3508161075059864</c:v>
                </c:pt>
              </c:numCache>
            </c:numRef>
          </c:xVal>
          <c:yVal>
            <c:numRef>
              <c:f>'Section Calcs'!$V$50:$AO$50</c:f>
              <c:numCache>
                <c:formatCode>0.00</c:formatCode>
                <c:ptCount val="20"/>
                <c:pt idx="0">
                  <c:v>1.1870490124574347</c:v>
                </c:pt>
                <c:pt idx="1">
                  <c:v>1.2236931122702739</c:v>
                </c:pt>
                <c:pt idx="2">
                  <c:v>1.2969813118959526</c:v>
                </c:pt>
                <c:pt idx="3">
                  <c:v>1.3702695115216312</c:v>
                </c:pt>
                <c:pt idx="4">
                  <c:v>1.4435577111473097</c:v>
                </c:pt>
                <c:pt idx="5">
                  <c:v>1.5534900105858276</c:v>
                </c:pt>
                <c:pt idx="6">
                  <c:v>1.7367105096500239</c:v>
                </c:pt>
                <c:pt idx="7">
                  <c:v>1.9199310087142205</c:v>
                </c:pt>
                <c:pt idx="8">
                  <c:v>2.2863720068426137</c:v>
                </c:pt>
                <c:pt idx="9">
                  <c:v>2.6528130049710064</c:v>
                </c:pt>
                <c:pt idx="10">
                  <c:v>3.0192540030993991</c:v>
                </c:pt>
                <c:pt idx="11">
                  <c:v>3.3856950012277922</c:v>
                </c:pt>
                <c:pt idx="12">
                  <c:v>3.7521359993561849</c:v>
                </c:pt>
                <c:pt idx="13">
                  <c:v>4.1185769974845776</c:v>
                </c:pt>
                <c:pt idx="14">
                  <c:v>4.4850179956129708</c:v>
                </c:pt>
                <c:pt idx="15">
                  <c:v>4.8514589937413639</c:v>
                </c:pt>
                <c:pt idx="16">
                  <c:v>5.9527575044260921</c:v>
                </c:pt>
                <c:pt idx="17">
                  <c:v>7.0540560151108211</c:v>
                </c:pt>
                <c:pt idx="18">
                  <c:v>8.1553545257955502</c:v>
                </c:pt>
                <c:pt idx="19">
                  <c:v>9.2566530364802784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Sections!$A$36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'Section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-0.12475018330222053</c:v>
                </c:pt>
                <c:pt idx="2">
                  <c:v>-0.37510746987603932</c:v>
                </c:pt>
                <c:pt idx="3">
                  <c:v>-0.62598766347586121</c:v>
                </c:pt>
                <c:pt idx="4">
                  <c:v>-0.87667410151392333</c:v>
                </c:pt>
                <c:pt idx="5">
                  <c:v>-1.2508484826033388</c:v>
                </c:pt>
                <c:pt idx="6">
                  <c:v>-1.8642258835748</c:v>
                </c:pt>
                <c:pt idx="7">
                  <c:v>-2.4569651199057132</c:v>
                </c:pt>
                <c:pt idx="8">
                  <c:v>-3.5499192493232425</c:v>
                </c:pt>
                <c:pt idx="9">
                  <c:v>-4.4805094454416183</c:v>
                </c:pt>
                <c:pt idx="10">
                  <c:v>-5.2187635200160916</c:v>
                </c:pt>
                <c:pt idx="11">
                  <c:v>-5.7539385219714818</c:v>
                </c:pt>
                <c:pt idx="12">
                  <c:v>-6.0945207374021839</c:v>
                </c:pt>
                <c:pt idx="13">
                  <c:v>-6.2682256895721569</c:v>
                </c:pt>
                <c:pt idx="14">
                  <c:v>-6.3219981389148883</c:v>
                </c:pt>
                <c:pt idx="15">
                  <c:v>-6.3220120830335524</c:v>
                </c:pt>
                <c:pt idx="16">
                  <c:v>-6.2868789083023771</c:v>
                </c:pt>
                <c:pt idx="17">
                  <c:v>-6.3326985013917305</c:v>
                </c:pt>
                <c:pt idx="18">
                  <c:v>-6.459470862301611</c:v>
                </c:pt>
                <c:pt idx="19">
                  <c:v>-6.6671959910320213</c:v>
                </c:pt>
              </c:numCache>
            </c:numRef>
          </c:xVal>
          <c:yVal>
            <c:numRef>
              <c:f>'Section Calcs'!$V$56:$AO$56</c:f>
              <c:numCache>
                <c:formatCode>0.00</c:formatCode>
                <c:ptCount val="20"/>
                <c:pt idx="0">
                  <c:v>0.68797988774569951</c:v>
                </c:pt>
                <c:pt idx="1">
                  <c:v>0.72961467880565611</c:v>
                </c:pt>
                <c:pt idx="2">
                  <c:v>0.81288426092556942</c:v>
                </c:pt>
                <c:pt idx="3">
                  <c:v>0.89615384304548273</c:v>
                </c:pt>
                <c:pt idx="4">
                  <c:v>0.97942342516539604</c:v>
                </c:pt>
                <c:pt idx="5">
                  <c:v>1.104327798345266</c:v>
                </c:pt>
                <c:pt idx="6">
                  <c:v>1.3125017536450492</c:v>
                </c:pt>
                <c:pt idx="7">
                  <c:v>1.5206757089448324</c:v>
                </c:pt>
                <c:pt idx="8">
                  <c:v>1.9370236195443988</c:v>
                </c:pt>
                <c:pt idx="9">
                  <c:v>2.3533715301439653</c:v>
                </c:pt>
                <c:pt idx="10">
                  <c:v>2.7697194407435317</c:v>
                </c:pt>
                <c:pt idx="11">
                  <c:v>3.1860673513430982</c:v>
                </c:pt>
                <c:pt idx="12">
                  <c:v>3.6024152619426646</c:v>
                </c:pt>
                <c:pt idx="13">
                  <c:v>4.018763172542231</c:v>
                </c:pt>
                <c:pt idx="14">
                  <c:v>4.4351110831417975</c:v>
                </c:pt>
                <c:pt idx="15">
                  <c:v>4.8514589937413639</c:v>
                </c:pt>
                <c:pt idx="16">
                  <c:v>5.9404473434502805</c:v>
                </c:pt>
                <c:pt idx="17">
                  <c:v>7.029435693159197</c:v>
                </c:pt>
                <c:pt idx="18">
                  <c:v>8.1184240428681136</c:v>
                </c:pt>
                <c:pt idx="19">
                  <c:v>9.2074123925770301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Sections!$A$37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xVal>
            <c:numRef>
              <c:f>'Section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-0.19038952026832795</c:v>
                </c:pt>
                <c:pt idx="2">
                  <c:v>-0.5572262850790074</c:v>
                </c:pt>
                <c:pt idx="3">
                  <c:v>-0.90627820954820826</c:v>
                </c:pt>
                <c:pt idx="4">
                  <c:v>-1.2384535796070997</c:v>
                </c:pt>
                <c:pt idx="5">
                  <c:v>-1.7069115535751389</c:v>
                </c:pt>
                <c:pt idx="6">
                  <c:v>-2.4145285209136733</c:v>
                </c:pt>
                <c:pt idx="7">
                  <c:v>-3.0398219621256741</c:v>
                </c:pt>
                <c:pt idx="8">
                  <c:v>-4.078598230510269</c:v>
                </c:pt>
                <c:pt idx="9">
                  <c:v>-4.8818779922571665</c:v>
                </c:pt>
                <c:pt idx="10">
                  <c:v>-5.4936836812499967</c:v>
                </c:pt>
                <c:pt idx="11">
                  <c:v>-5.9477089168865716</c:v>
                </c:pt>
                <c:pt idx="12">
                  <c:v>-6.2701799255594999</c:v>
                </c:pt>
                <c:pt idx="13">
                  <c:v>-6.4818156512080227</c:v>
                </c:pt>
                <c:pt idx="14">
                  <c:v>-6.5992012522373464</c:v>
                </c:pt>
                <c:pt idx="15">
                  <c:v>-6.6357700730737044</c:v>
                </c:pt>
                <c:pt idx="16">
                  <c:v>-6.5417224195955015</c:v>
                </c:pt>
                <c:pt idx="17">
                  <c:v>-6.5545155872620544</c:v>
                </c:pt>
                <c:pt idx="18">
                  <c:v>-6.674149576073364</c:v>
                </c:pt>
                <c:pt idx="19">
                  <c:v>-6.9006243860294267</c:v>
                </c:pt>
              </c:numCache>
            </c:numRef>
          </c:xVal>
          <c:yVal>
            <c:numRef>
              <c:f>'Section Calcs'!$V$62:$AO$62</c:f>
              <c:numCache>
                <c:formatCode>0.00</c:formatCode>
                <c:ptCount val="20"/>
                <c:pt idx="0">
                  <c:v>0.32480778077737416</c:v>
                </c:pt>
                <c:pt idx="1">
                  <c:v>0.37007429290701405</c:v>
                </c:pt>
                <c:pt idx="2">
                  <c:v>0.46060731716629388</c:v>
                </c:pt>
                <c:pt idx="3">
                  <c:v>0.55114034142557367</c:v>
                </c:pt>
                <c:pt idx="4">
                  <c:v>0.64167336568485345</c:v>
                </c:pt>
                <c:pt idx="5">
                  <c:v>0.77747290207377318</c:v>
                </c:pt>
                <c:pt idx="6">
                  <c:v>1.0038054627219726</c:v>
                </c:pt>
                <c:pt idx="7">
                  <c:v>1.2301380233701722</c:v>
                </c:pt>
                <c:pt idx="8">
                  <c:v>1.682803144666571</c:v>
                </c:pt>
                <c:pt idx="9">
                  <c:v>2.1354682659629702</c:v>
                </c:pt>
                <c:pt idx="10">
                  <c:v>2.588133387259369</c:v>
                </c:pt>
                <c:pt idx="11">
                  <c:v>3.0407985085557678</c:v>
                </c:pt>
                <c:pt idx="12">
                  <c:v>3.4934636298521666</c:v>
                </c:pt>
                <c:pt idx="13">
                  <c:v>3.9461287511485663</c:v>
                </c:pt>
                <c:pt idx="14">
                  <c:v>4.3987938724449647</c:v>
                </c:pt>
                <c:pt idx="15">
                  <c:v>4.8514589937413639</c:v>
                </c:pt>
                <c:pt idx="16">
                  <c:v>5.9281405899156017</c:v>
                </c:pt>
                <c:pt idx="17">
                  <c:v>7.0048221860898394</c:v>
                </c:pt>
                <c:pt idx="18">
                  <c:v>8.0815037822640772</c:v>
                </c:pt>
                <c:pt idx="19">
                  <c:v>9.1581853784383149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Sections!$A$38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xVal>
            <c:numRef>
              <c:f>'Section Calcs'!$V$72:$AO$72</c:f>
              <c:numCache>
                <c:formatCode>0.00</c:formatCode>
                <c:ptCount val="20"/>
                <c:pt idx="0">
                  <c:v>0</c:v>
                </c:pt>
                <c:pt idx="1">
                  <c:v>-0.23147072826309903</c:v>
                </c:pt>
                <c:pt idx="2">
                  <c:v>-0.67152389363127696</c:v>
                </c:pt>
                <c:pt idx="3">
                  <c:v>-1.0830837141222645</c:v>
                </c:pt>
                <c:pt idx="4">
                  <c:v>-1.4683596726643315</c:v>
                </c:pt>
                <c:pt idx="5">
                  <c:v>-2.0012834142248481</c:v>
                </c:pt>
                <c:pt idx="6">
                  <c:v>-2.7835682692985122</c:v>
                </c:pt>
                <c:pt idx="7">
                  <c:v>-3.4524966098553262</c:v>
                </c:pt>
                <c:pt idx="8">
                  <c:v>-4.5180431511949317</c:v>
                </c:pt>
                <c:pt idx="9">
                  <c:v>-5.3027469262578313</c:v>
                </c:pt>
                <c:pt idx="10">
                  <c:v>-5.876599552323464</c:v>
                </c:pt>
                <c:pt idx="11">
                  <c:v>-6.288118807457856</c:v>
                </c:pt>
                <c:pt idx="12">
                  <c:v>-6.5719973383642332</c:v>
                </c:pt>
                <c:pt idx="13">
                  <c:v>-6.7536995269223912</c:v>
                </c:pt>
                <c:pt idx="14">
                  <c:v>-6.8523385689872871</c:v>
                </c:pt>
                <c:pt idx="15">
                  <c:v>-6.8825403521952069</c:v>
                </c:pt>
                <c:pt idx="16">
                  <c:v>-6.7643808102871965</c:v>
                </c:pt>
                <c:pt idx="17">
                  <c:v>-6.7538348463499638</c:v>
                </c:pt>
                <c:pt idx="18">
                  <c:v>-6.8509024603835087</c:v>
                </c:pt>
                <c:pt idx="19">
                  <c:v>-7.0555836523878313</c:v>
                </c:pt>
              </c:numCache>
            </c:numRef>
          </c:xVal>
          <c:yVal>
            <c:numRef>
              <c:f>'Section Calcs'!$V$68:$AO$68</c:f>
              <c:numCache>
                <c:formatCode>0.00</c:formatCode>
                <c:ptCount val="20"/>
                <c:pt idx="0">
                  <c:v>0.10022341115138911</c:v>
                </c:pt>
                <c:pt idx="1">
                  <c:v>0.14773576697728885</c:v>
                </c:pt>
                <c:pt idx="2">
                  <c:v>0.24276047862908834</c:v>
                </c:pt>
                <c:pt idx="3">
                  <c:v>0.33778519028088783</c:v>
                </c:pt>
                <c:pt idx="4">
                  <c:v>0.43280990193268737</c:v>
                </c:pt>
                <c:pt idx="5">
                  <c:v>0.57534696941038654</c:v>
                </c:pt>
                <c:pt idx="6">
                  <c:v>0.81290874853988526</c:v>
                </c:pt>
                <c:pt idx="7">
                  <c:v>1.050470527669384</c:v>
                </c:pt>
                <c:pt idx="8">
                  <c:v>1.5255940859283814</c:v>
                </c:pt>
                <c:pt idx="9">
                  <c:v>2.0007176441873789</c:v>
                </c:pt>
                <c:pt idx="10">
                  <c:v>2.4758412024463765</c:v>
                </c:pt>
                <c:pt idx="11">
                  <c:v>2.9509647607053737</c:v>
                </c:pt>
                <c:pt idx="12">
                  <c:v>3.4260883189643714</c:v>
                </c:pt>
                <c:pt idx="13">
                  <c:v>3.901211877223369</c:v>
                </c:pt>
                <c:pt idx="14">
                  <c:v>4.3763354354823667</c:v>
                </c:pt>
                <c:pt idx="15">
                  <c:v>4.8514589937413639</c:v>
                </c:pt>
                <c:pt idx="16">
                  <c:v>5.9158241806935772</c:v>
                </c:pt>
                <c:pt idx="17">
                  <c:v>6.9801893676457905</c:v>
                </c:pt>
                <c:pt idx="18">
                  <c:v>8.0445545545980046</c:v>
                </c:pt>
                <c:pt idx="19">
                  <c:v>9.108919741550217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Sections!$A$39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xVal>
            <c:numRef>
              <c:f>'Section Calcs'!$V$78:$AO$78</c:f>
              <c:numCache>
                <c:formatCode>0.00</c:formatCode>
                <c:ptCount val="20"/>
                <c:pt idx="0">
                  <c:v>0</c:v>
                </c:pt>
                <c:pt idx="1">
                  <c:v>-0.29673874731372168</c:v>
                </c:pt>
                <c:pt idx="2">
                  <c:v>-0.84762916965164448</c:v>
                </c:pt>
                <c:pt idx="3">
                  <c:v>-1.3476416600722154</c:v>
                </c:pt>
                <c:pt idx="4">
                  <c:v>-1.8028716209221038</c:v>
                </c:pt>
                <c:pt idx="5">
                  <c:v>-2.412822281225917</c:v>
                </c:pt>
                <c:pt idx="6">
                  <c:v>-3.268489483956996</c:v>
                </c:pt>
                <c:pt idx="7">
                  <c:v>-3.9644628756650735</c:v>
                </c:pt>
                <c:pt idx="8">
                  <c:v>-5.0084368325525626</c:v>
                </c:pt>
                <c:pt idx="9">
                  <c:v>-5.7280578632245298</c:v>
                </c:pt>
                <c:pt idx="10">
                  <c:v>-6.2278642035327723</c:v>
                </c:pt>
                <c:pt idx="11">
                  <c:v>-6.5718288590696341</c:v>
                </c:pt>
                <c:pt idx="12">
                  <c:v>-6.8012958675668722</c:v>
                </c:pt>
                <c:pt idx="13">
                  <c:v>-6.9441729666729124</c:v>
                </c:pt>
                <c:pt idx="14">
                  <c:v>-7.0199797368229166</c:v>
                </c:pt>
                <c:pt idx="15">
                  <c:v>-7.0427788503840265</c:v>
                </c:pt>
                <c:pt idx="16">
                  <c:v>-6.9402745355749627</c:v>
                </c:pt>
                <c:pt idx="17">
                  <c:v>-6.9220601408196778</c:v>
                </c:pt>
                <c:pt idx="18">
                  <c:v>-6.9881356661181702</c:v>
                </c:pt>
                <c:pt idx="19">
                  <c:v>-7.1385011114704451</c:v>
                </c:pt>
              </c:numCache>
            </c:numRef>
          </c:xVal>
          <c:yVal>
            <c:numRef>
              <c:f>'Section Calcs'!$V$74:$AO$74</c:f>
              <c:numCache>
                <c:formatCode>0.00</c:formatCode>
                <c:ptCount val="20"/>
                <c:pt idx="0">
                  <c:v>1.1197446890085949E-2</c:v>
                </c:pt>
                <c:pt idx="1">
                  <c:v>5.9600062358598729E-2</c:v>
                </c:pt>
                <c:pt idx="2">
                  <c:v>0.15640529329562428</c:v>
                </c:pt>
                <c:pt idx="3">
                  <c:v>0.25321052423264989</c:v>
                </c:pt>
                <c:pt idx="4">
                  <c:v>0.35001575516967542</c:v>
                </c:pt>
                <c:pt idx="5">
                  <c:v>0.49522360157521378</c:v>
                </c:pt>
                <c:pt idx="6">
                  <c:v>0.73723667891777767</c:v>
                </c:pt>
                <c:pt idx="7">
                  <c:v>0.97924975626034161</c:v>
                </c:pt>
                <c:pt idx="8">
                  <c:v>1.4632759109454694</c:v>
                </c:pt>
                <c:pt idx="9">
                  <c:v>1.9473020656305973</c:v>
                </c:pt>
                <c:pt idx="10">
                  <c:v>2.4313282203157249</c:v>
                </c:pt>
                <c:pt idx="11">
                  <c:v>2.9153543750008528</c:v>
                </c:pt>
                <c:pt idx="12">
                  <c:v>3.3993805296859803</c:v>
                </c:pt>
                <c:pt idx="13">
                  <c:v>3.8834066843711086</c:v>
                </c:pt>
                <c:pt idx="14">
                  <c:v>4.367432839056236</c:v>
                </c:pt>
                <c:pt idx="15">
                  <c:v>4.8514589937413639</c:v>
                </c:pt>
                <c:pt idx="16">
                  <c:v>5.9035327691977448</c:v>
                </c:pt>
                <c:pt idx="17">
                  <c:v>6.9556065446541258</c:v>
                </c:pt>
                <c:pt idx="18">
                  <c:v>8.0076803201105058</c:v>
                </c:pt>
                <c:pt idx="19">
                  <c:v>9.0597540955668876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Sections!$A$40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xVal>
            <c:numRef>
              <c:f>'Section Calcs'!$V$84:$AO$84</c:f>
              <c:numCache>
                <c:formatCode>0.00</c:formatCode>
                <c:ptCount val="20"/>
                <c:pt idx="0">
                  <c:v>0</c:v>
                </c:pt>
                <c:pt idx="1">
                  <c:v>-0.38327691007826786</c:v>
                </c:pt>
                <c:pt idx="2">
                  <c:v>-1.0712072671753523</c:v>
                </c:pt>
                <c:pt idx="3">
                  <c:v>-1.6703098366310154</c:v>
                </c:pt>
                <c:pt idx="4">
                  <c:v>-2.1959206346143616</c:v>
                </c:pt>
                <c:pt idx="5">
                  <c:v>-2.872089762380106</c:v>
                </c:pt>
                <c:pt idx="6">
                  <c:v>-3.7697261666408775</c:v>
                </c:pt>
                <c:pt idx="7">
                  <c:v>-4.4587562769922533</c:v>
                </c:pt>
                <c:pt idx="8">
                  <c:v>-5.4277215995053592</c:v>
                </c:pt>
                <c:pt idx="9">
                  <c:v>-6.0524959802283389</c:v>
                </c:pt>
                <c:pt idx="10">
                  <c:v>-6.4658817401072417</c:v>
                </c:pt>
                <c:pt idx="11">
                  <c:v>-6.7401463362568315</c:v>
                </c:pt>
                <c:pt idx="12">
                  <c:v>-6.9179856571096687</c:v>
                </c:pt>
                <c:pt idx="13">
                  <c:v>-7.0262459945479785</c:v>
                </c:pt>
                <c:pt idx="14">
                  <c:v>-7.0826540838357497</c:v>
                </c:pt>
                <c:pt idx="15">
                  <c:v>-7.0993863285373875</c:v>
                </c:pt>
                <c:pt idx="16">
                  <c:v>-7.0505917104956772</c:v>
                </c:pt>
                <c:pt idx="17">
                  <c:v>-7.0436921565934139</c:v>
                </c:pt>
                <c:pt idx="18">
                  <c:v>-7.0786876668305974</c:v>
                </c:pt>
                <c:pt idx="19">
                  <c:v>-7.1555782412072286</c:v>
                </c:pt>
              </c:numCache>
            </c:numRef>
          </c:xVal>
          <c:yVal>
            <c:numRef>
              <c:f>'Section Calcs'!$V$80:$AO$80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5.8911876791823943</c:v>
                </c:pt>
                <c:pt idx="17">
                  <c:v>6.9309163646234246</c:v>
                </c:pt>
                <c:pt idx="18">
                  <c:v>7.970645050064455</c:v>
                </c:pt>
                <c:pt idx="19">
                  <c:v>9.0103737355054854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Sections!$A$41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0.48722035761400562</c:v>
                </c:pt>
                <c:pt idx="2">
                  <c:v>1.3209008727909985</c:v>
                </c:pt>
                <c:pt idx="3">
                  <c:v>2.0073208326207683</c:v>
                </c:pt>
                <c:pt idx="4">
                  <c:v>2.5815194313755394</c:v>
                </c:pt>
                <c:pt idx="5">
                  <c:v>3.2846025540624413</c:v>
                </c:pt>
                <c:pt idx="6">
                  <c:v>4.1615189796341889</c:v>
                </c:pt>
                <c:pt idx="7">
                  <c:v>4.795214031363737</c:v>
                </c:pt>
                <c:pt idx="8">
                  <c:v>5.6356020504387363</c:v>
                </c:pt>
                <c:pt idx="9">
                  <c:v>6.1511451292409047</c:v>
                </c:pt>
                <c:pt idx="10">
                  <c:v>6.4847025238582088</c:v>
                </c:pt>
                <c:pt idx="11">
                  <c:v>6.7060750503105959</c:v>
                </c:pt>
                <c:pt idx="12">
                  <c:v>6.8534137209162491</c:v>
                </c:pt>
                <c:pt idx="13">
                  <c:v>6.9493320201251318</c:v>
                </c:pt>
                <c:pt idx="14">
                  <c:v>7.0080848181571458</c:v>
                </c:pt>
                <c:pt idx="15">
                  <c:v>7.0391036724598841</c:v>
                </c:pt>
                <c:pt idx="16">
                  <c:v>7.0745672028940625</c:v>
                </c:pt>
                <c:pt idx="17">
                  <c:v>7.0983723900706526</c:v>
                </c:pt>
                <c:pt idx="18">
                  <c:v>7.1105192339896552</c:v>
                </c:pt>
                <c:pt idx="19">
                  <c:v>7.1110077346510696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5.8789014874420875</c:v>
                </c:pt>
                <c:pt idx="17">
                  <c:v>6.9063439811428102</c:v>
                </c:pt>
                <c:pt idx="18">
                  <c:v>7.9337864748435329</c:v>
                </c:pt>
                <c:pt idx="19">
                  <c:v>8.9612289685442565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Sections!$A$42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'Section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0.70571449868628622</c:v>
                </c:pt>
                <c:pt idx="2">
                  <c:v>1.772966030232586</c:v>
                </c:pt>
                <c:pt idx="3">
                  <c:v>2.5422319141929957</c:v>
                </c:pt>
                <c:pt idx="4">
                  <c:v>3.1234770613226468</c:v>
                </c:pt>
                <c:pt idx="5">
                  <c:v>3.770942288355438</c:v>
                </c:pt>
                <c:pt idx="6">
                  <c:v>4.4983189476229501</c:v>
                </c:pt>
                <c:pt idx="7">
                  <c:v>4.981377470395727</c:v>
                </c:pt>
                <c:pt idx="8">
                  <c:v>5.5879349254714477</c:v>
                </c:pt>
                <c:pt idx="9">
                  <c:v>5.958392126388631</c:v>
                </c:pt>
                <c:pt idx="10">
                  <c:v>6.2122754524313493</c:v>
                </c:pt>
                <c:pt idx="11">
                  <c:v>6.4000796958574666</c:v>
                </c:pt>
                <c:pt idx="12">
                  <c:v>6.546816196096664</c:v>
                </c:pt>
                <c:pt idx="13">
                  <c:v>6.6662878525577449</c:v>
                </c:pt>
                <c:pt idx="14">
                  <c:v>6.7667351848195789</c:v>
                </c:pt>
                <c:pt idx="15">
                  <c:v>6.8533818357117688</c:v>
                </c:pt>
                <c:pt idx="16">
                  <c:v>6.9915309103973096</c:v>
                </c:pt>
                <c:pt idx="17">
                  <c:v>7.0629538318767464</c:v>
                </c:pt>
                <c:pt idx="18">
                  <c:v>7.0676506001500794</c:v>
                </c:pt>
                <c:pt idx="19">
                  <c:v>7.0056212152173085</c:v>
                </c:pt>
              </c:numCache>
            </c:numRef>
          </c:xVal>
          <c:yVal>
            <c:numRef>
              <c:f>'Section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5.8786038578464002</c:v>
                </c:pt>
                <c:pt idx="17">
                  <c:v>6.9057487219514373</c:v>
                </c:pt>
                <c:pt idx="18">
                  <c:v>7.9328935860564744</c:v>
                </c:pt>
                <c:pt idx="19">
                  <c:v>8.9600384501615107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Sections!$A$43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xVal>
            <c:numRef>
              <c:f>'Section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1.1109664277450284</c:v>
                </c:pt>
                <c:pt idx="2">
                  <c:v>2.3978280483407017</c:v>
                </c:pt>
                <c:pt idx="3">
                  <c:v>3.126638937295982</c:v>
                </c:pt>
                <c:pt idx="4">
                  <c:v>3.6003742721758103</c:v>
                </c:pt>
                <c:pt idx="5">
                  <c:v>4.0709689406373499</c:v>
                </c:pt>
                <c:pt idx="6">
                  <c:v>4.5512158841397161</c:v>
                </c:pt>
                <c:pt idx="7">
                  <c:v>4.8568116340061893</c:v>
                </c:pt>
                <c:pt idx="8">
                  <c:v>5.2517921723609415</c:v>
                </c:pt>
                <c:pt idx="9">
                  <c:v>5.522096435965568</c:v>
                </c:pt>
                <c:pt idx="10">
                  <c:v>5.7369231358962072</c:v>
                </c:pt>
                <c:pt idx="11">
                  <c:v>5.922256505490636</c:v>
                </c:pt>
                <c:pt idx="12">
                  <c:v>6.0900449985542737</c:v>
                </c:pt>
                <c:pt idx="13">
                  <c:v>6.2465508094426534</c:v>
                </c:pt>
                <c:pt idx="14">
                  <c:v>6.3953728256965894</c:v>
                </c:pt>
                <c:pt idx="15">
                  <c:v>6.538726431309354</c:v>
                </c:pt>
                <c:pt idx="16">
                  <c:v>6.7827656650744181</c:v>
                </c:pt>
                <c:pt idx="17">
                  <c:v>6.9136492782057637</c:v>
                </c:pt>
                <c:pt idx="18">
                  <c:v>6.931377270703388</c:v>
                </c:pt>
                <c:pt idx="19">
                  <c:v>6.8359496425672939</c:v>
                </c:pt>
              </c:numCache>
            </c:numRef>
          </c:xVal>
          <c:yVal>
            <c:numRef>
              <c:f>'Section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5.8847451797176085</c:v>
                </c:pt>
                <c:pt idx="17">
                  <c:v>6.9180313656938521</c:v>
                </c:pt>
                <c:pt idx="18">
                  <c:v>7.9513175516700958</c:v>
                </c:pt>
                <c:pt idx="19">
                  <c:v>8.9846037376463403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Sections!$A$44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xVal>
            <c:numRef>
              <c:f>'Section Calcs'!$V$105:$AO$105</c:f>
              <c:numCache>
                <c:formatCode>0.00</c:formatCode>
                <c:ptCount val="20"/>
                <c:pt idx="0">
                  <c:v>0</c:v>
                </c:pt>
                <c:pt idx="1">
                  <c:v>1.6373124659651261</c:v>
                </c:pt>
                <c:pt idx="2">
                  <c:v>2.8421088674158774</c:v>
                </c:pt>
                <c:pt idx="3">
                  <c:v>3.3485601983035407</c:v>
                </c:pt>
                <c:pt idx="4">
                  <c:v>3.638625023748765</c:v>
                </c:pt>
                <c:pt idx="5">
                  <c:v>3.9108667157510117</c:v>
                </c:pt>
                <c:pt idx="6">
                  <c:v>4.1904661539225572</c:v>
                </c:pt>
                <c:pt idx="7">
                  <c:v>4.3828336468552376</c:v>
                </c:pt>
                <c:pt idx="8">
                  <c:v>4.6710126725317087</c:v>
                </c:pt>
                <c:pt idx="9">
                  <c:v>4.9076448438686526</c:v>
                </c:pt>
                <c:pt idx="10">
                  <c:v>5.1226448594909533</c:v>
                </c:pt>
                <c:pt idx="11">
                  <c:v>5.3265318356738272</c:v>
                </c:pt>
                <c:pt idx="12">
                  <c:v>5.5239559792605188</c:v>
                </c:pt>
                <c:pt idx="13">
                  <c:v>5.7172906023515528</c:v>
                </c:pt>
                <c:pt idx="14">
                  <c:v>5.9078736968502445</c:v>
                </c:pt>
                <c:pt idx="15">
                  <c:v>6.0965169722775912</c:v>
                </c:pt>
                <c:pt idx="16">
                  <c:v>6.4331605303982027</c:v>
                </c:pt>
                <c:pt idx="17">
                  <c:v>6.6282403633611731</c:v>
                </c:pt>
                <c:pt idx="18">
                  <c:v>6.6817564711665014</c:v>
                </c:pt>
                <c:pt idx="19">
                  <c:v>6.5937088538141868</c:v>
                </c:pt>
              </c:numCache>
            </c:numRef>
          </c:xVal>
          <c:yVal>
            <c:numRef>
              <c:f>'Section Calcs'!$V$102:$AO$102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5.9036065540950489</c:v>
                </c:pt>
                <c:pt idx="17">
                  <c:v>6.9557541144487338</c:v>
                </c:pt>
                <c:pt idx="18">
                  <c:v>8.0079016748024188</c:v>
                </c:pt>
                <c:pt idx="19">
                  <c:v>9.0600492351561037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Sections!$A$45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xVal>
            <c:numRef>
              <c:f>'Section Calcs'!$V$110:$AO$110</c:f>
              <c:numCache>
                <c:formatCode>0.00</c:formatCode>
                <c:ptCount val="20"/>
                <c:pt idx="0">
                  <c:v>0</c:v>
                </c:pt>
                <c:pt idx="1">
                  <c:v>1.8094162004452263</c:v>
                </c:pt>
                <c:pt idx="2">
                  <c:v>2.7097958714154724</c:v>
                </c:pt>
                <c:pt idx="3">
                  <c:v>3.0326389503162288</c:v>
                </c:pt>
                <c:pt idx="4">
                  <c:v>3.2139486543290143</c:v>
                </c:pt>
                <c:pt idx="5">
                  <c:v>3.3902200562433991</c:v>
                </c:pt>
                <c:pt idx="6">
                  <c:v>3.5888356840316447</c:v>
                </c:pt>
                <c:pt idx="7">
                  <c:v>3.742316135428148</c:v>
                </c:pt>
                <c:pt idx="8">
                  <c:v>4.0013775669795768</c:v>
                </c:pt>
                <c:pt idx="9">
                  <c:v>4.2355654425312448</c:v>
                </c:pt>
                <c:pt idx="10">
                  <c:v>4.4595262875995738</c:v>
                </c:pt>
                <c:pt idx="11">
                  <c:v>4.6782941059556737</c:v>
                </c:pt>
                <c:pt idx="12">
                  <c:v>4.8940647519763267</c:v>
                </c:pt>
                <c:pt idx="13">
                  <c:v>5.1079490067987185</c:v>
                </c:pt>
                <c:pt idx="14">
                  <c:v>5.3205691153013746</c:v>
                </c:pt>
                <c:pt idx="15">
                  <c:v>5.5323007610547359</c:v>
                </c:pt>
                <c:pt idx="16">
                  <c:v>5.9326694775794735</c:v>
                </c:pt>
                <c:pt idx="17">
                  <c:v>6.188356162667656</c:v>
                </c:pt>
                <c:pt idx="18">
                  <c:v>6.2993608163192825</c:v>
                </c:pt>
                <c:pt idx="19">
                  <c:v>6.2656834385343565</c:v>
                </c:pt>
              </c:numCache>
            </c:numRef>
          </c:xVal>
          <c:yVal>
            <c:numRef>
              <c:f>'Section Calcs'!$V$107:$AO$107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5.9364157075602337</c:v>
                </c:pt>
                <c:pt idx="17">
                  <c:v>7.0213724213791036</c:v>
                </c:pt>
                <c:pt idx="18">
                  <c:v>8.1063291351979743</c:v>
                </c:pt>
                <c:pt idx="19">
                  <c:v>9.1912858490168432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Sections!$A$46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'Section Calcs'!$V$115:$AO$115</c:f>
              <c:numCache>
                <c:formatCode>0.00</c:formatCode>
                <c:ptCount val="20"/>
                <c:pt idx="0">
                  <c:v>0</c:v>
                </c:pt>
                <c:pt idx="1">
                  <c:v>0.83878579968863121</c:v>
                </c:pt>
                <c:pt idx="2">
                  <c:v>1.6359094304008457</c:v>
                </c:pt>
                <c:pt idx="3">
                  <c:v>2.0334630532521771</c:v>
                </c:pt>
                <c:pt idx="4">
                  <c:v>2.2816992946646897</c:v>
                </c:pt>
                <c:pt idx="5">
                  <c:v>2.529869790935849</c:v>
                </c:pt>
                <c:pt idx="6">
                  <c:v>2.8007017449474758</c:v>
                </c:pt>
                <c:pt idx="7">
                  <c:v>2.9958093060451789</c:v>
                </c:pt>
                <c:pt idx="8">
                  <c:v>3.2983068553410346</c:v>
                </c:pt>
                <c:pt idx="9">
                  <c:v>3.5525164789089536</c:v>
                </c:pt>
                <c:pt idx="10">
                  <c:v>3.7859892947478739</c:v>
                </c:pt>
                <c:pt idx="11">
                  <c:v>4.0086662462326235</c:v>
                </c:pt>
                <c:pt idx="12">
                  <c:v>4.2250096636560812</c:v>
                </c:pt>
                <c:pt idx="13">
                  <c:v>4.4373204191772029</c:v>
                </c:pt>
                <c:pt idx="14">
                  <c:v>4.6469052729781559</c:v>
                </c:pt>
                <c:pt idx="15">
                  <c:v>4.8545614277492115</c:v>
                </c:pt>
                <c:pt idx="16">
                  <c:v>5.2775514468538027</c:v>
                </c:pt>
                <c:pt idx="17">
                  <c:v>5.5818044228133017</c:v>
                </c:pt>
                <c:pt idx="18">
                  <c:v>5.7673203556277057</c:v>
                </c:pt>
                <c:pt idx="19">
                  <c:v>5.8340992452970175</c:v>
                </c:pt>
              </c:numCache>
            </c:numRef>
          </c:xVal>
          <c:yVal>
            <c:numRef>
              <c:f>'Section Calcs'!$V$112:$AO$112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5.9826194095239069</c:v>
                </c:pt>
                <c:pt idx="17">
                  <c:v>7.1137798253064499</c:v>
                </c:pt>
                <c:pt idx="18">
                  <c:v>8.2449402410889938</c:v>
                </c:pt>
                <c:pt idx="19">
                  <c:v>9.3761006568715359</c:v>
                </c:pt>
              </c:numCache>
            </c:numRef>
          </c:yVal>
          <c:smooth val="1"/>
        </c:ser>
        <c:ser>
          <c:idx val="16"/>
          <c:order val="16"/>
          <c:tx>
            <c:strRef>
              <c:f>Sections!$A$47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'Section Calcs'!$V$120:$AO$120</c:f>
              <c:numCache>
                <c:formatCode>0.00</c:formatCode>
                <c:ptCount val="20"/>
                <c:pt idx="0">
                  <c:v>0</c:v>
                </c:pt>
                <c:pt idx="1">
                  <c:v>7.6299081939536662E-2</c:v>
                </c:pt>
                <c:pt idx="2">
                  <c:v>0.23166256354463399</c:v>
                </c:pt>
                <c:pt idx="3">
                  <c:v>0.38999319991863673</c:v>
                </c:pt>
                <c:pt idx="4">
                  <c:v>0.5504608204665512</c:v>
                </c:pt>
                <c:pt idx="5">
                  <c:v>0.79344802606158926</c:v>
                </c:pt>
                <c:pt idx="6">
                  <c:v>1.1984478142557631</c:v>
                </c:pt>
                <c:pt idx="7">
                  <c:v>1.5945826880047596</c:v>
                </c:pt>
                <c:pt idx="8">
                  <c:v>2.3261521245650885</c:v>
                </c:pt>
                <c:pt idx="9">
                  <c:v>2.9350130773052623</c:v>
                </c:pt>
                <c:pt idx="10">
                  <c:v>3.3921308906150656</c:v>
                </c:pt>
                <c:pt idx="11">
                  <c:v>3.6925795117113962</c:v>
                </c:pt>
                <c:pt idx="12">
                  <c:v>3.855541490638255</c:v>
                </c:pt>
                <c:pt idx="13">
                  <c:v>3.9243079802667524</c:v>
                </c:pt>
                <c:pt idx="14">
                  <c:v>3.966278736295076</c:v>
                </c:pt>
                <c:pt idx="15">
                  <c:v>4.0729621172485997</c:v>
                </c:pt>
                <c:pt idx="16">
                  <c:v>4.4714767675480669</c:v>
                </c:pt>
                <c:pt idx="17">
                  <c:v>4.8050159431673585</c:v>
                </c:pt>
                <c:pt idx="18">
                  <c:v>5.0735796441064753</c:v>
                </c:pt>
                <c:pt idx="19">
                  <c:v>5.2771678703654139</c:v>
                </c:pt>
              </c:numCache>
            </c:numRef>
          </c:xVal>
          <c:yVal>
            <c:numRef>
              <c:f>'Section Calcs'!$V$117:$AO$117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6.0424339968151557</c:v>
                </c:pt>
                <c:pt idx="17">
                  <c:v>7.2334089998889466</c:v>
                </c:pt>
                <c:pt idx="18">
                  <c:v>8.4243840029627375</c:v>
                </c:pt>
                <c:pt idx="19">
                  <c:v>9.6153590060365293</c:v>
                </c:pt>
              </c:numCache>
            </c:numRef>
          </c:yVal>
          <c:smooth val="1"/>
        </c:ser>
        <c:ser>
          <c:idx val="17"/>
          <c:order val="17"/>
          <c:tx>
            <c:strRef>
              <c:f>Sections!$A$48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'Section Calcs'!$V$125:$AO$125</c:f>
              <c:numCache>
                <c:formatCode>0.00</c:formatCode>
                <c:ptCount val="20"/>
                <c:pt idx="0">
                  <c:v>0</c:v>
                </c:pt>
                <c:pt idx="1">
                  <c:v>1.2059971625739336E-2</c:v>
                </c:pt>
                <c:pt idx="2">
                  <c:v>4.7140988725535356E-2</c:v>
                </c:pt>
                <c:pt idx="3">
                  <c:v>9.5666280181521957E-2</c:v>
                </c:pt>
                <c:pt idx="4">
                  <c:v>0.15627547164736225</c:v>
                </c:pt>
                <c:pt idx="5">
                  <c:v>0.26699510599819826</c:v>
                </c:pt>
                <c:pt idx="6">
                  <c:v>0.49411233402420351</c:v>
                </c:pt>
                <c:pt idx="7">
                  <c:v>0.75911768617041364</c:v>
                </c:pt>
                <c:pt idx="8">
                  <c:v>1.341060977150446</c:v>
                </c:pt>
                <c:pt idx="9">
                  <c:v>1.9091000609592967</c:v>
                </c:pt>
                <c:pt idx="10">
                  <c:v>2.3910918650051638</c:v>
                </c:pt>
                <c:pt idx="11">
                  <c:v>2.7464751620834469</c:v>
                </c:pt>
                <c:pt idx="12">
                  <c:v>2.9662705703767487</c:v>
                </c:pt>
                <c:pt idx="13">
                  <c:v>3.0730805534548709</c:v>
                </c:pt>
                <c:pt idx="14">
                  <c:v>3.1210894202747914</c:v>
                </c:pt>
                <c:pt idx="15">
                  <c:v>3.19606332518075</c:v>
                </c:pt>
                <c:pt idx="16">
                  <c:v>3.5261888520839832</c:v>
                </c:pt>
                <c:pt idx="17">
                  <c:v>3.8653697100895879</c:v>
                </c:pt>
                <c:pt idx="18">
                  <c:v>4.2136058991975638</c:v>
                </c:pt>
                <c:pt idx="19">
                  <c:v>4.5708974194079124</c:v>
                </c:pt>
              </c:numCache>
            </c:numRef>
          </c:xVal>
          <c:yVal>
            <c:numRef>
              <c:f>'Section Calcs'!$V$122:$AO$122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6.1157594930830559</c:v>
                </c:pt>
                <c:pt idx="17">
                  <c:v>7.3800599924247479</c:v>
                </c:pt>
                <c:pt idx="18">
                  <c:v>8.6443604917664398</c:v>
                </c:pt>
                <c:pt idx="19">
                  <c:v>9.9086609911081318</c:v>
                </c:pt>
              </c:numCache>
            </c:numRef>
          </c:yVal>
          <c:smooth val="1"/>
        </c:ser>
        <c:ser>
          <c:idx val="18"/>
          <c:order val="18"/>
          <c:tx>
            <c:strRef>
              <c:f>Sections!$A$49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'Section Calcs'!$V$130:$AO$130</c:f>
              <c:numCache>
                <c:formatCode>0.00</c:formatCode>
                <c:ptCount val="20"/>
                <c:pt idx="0">
                  <c:v>0</c:v>
                </c:pt>
                <c:pt idx="1">
                  <c:v>1.0380734603302451E-3</c:v>
                </c:pt>
                <c:pt idx="2">
                  <c:v>9.1182819464083516E-3</c:v>
                </c:pt>
                <c:pt idx="3">
                  <c:v>2.4708296996867874E-2</c:v>
                </c:pt>
                <c:pt idx="4">
                  <c:v>4.722854869524927E-2</c:v>
                </c:pt>
                <c:pt idx="5">
                  <c:v>9.2777950264968503E-2</c:v>
                </c:pt>
                <c:pt idx="6">
                  <c:v>0.19562695207683323</c:v>
                </c:pt>
                <c:pt idx="7">
                  <c:v>0.32535011215815635</c:v>
                </c:pt>
                <c:pt idx="8">
                  <c:v>0.6371822332977588</c:v>
                </c:pt>
                <c:pt idx="9">
                  <c:v>0.97856914055256372</c:v>
                </c:pt>
                <c:pt idx="10">
                  <c:v>1.310634740041946</c:v>
                </c:pt>
                <c:pt idx="11">
                  <c:v>1.6053320171358723</c:v>
                </c:pt>
                <c:pt idx="12">
                  <c:v>1.8454430364549019</c:v>
                </c:pt>
                <c:pt idx="13">
                  <c:v>2.0245789418701827</c:v>
                </c:pt>
                <c:pt idx="14">
                  <c:v>2.1471799565034404</c:v>
                </c:pt>
                <c:pt idx="15">
                  <c:v>2.2285153827270259</c:v>
                </c:pt>
                <c:pt idx="16">
                  <c:v>2.4628543779546099</c:v>
                </c:pt>
                <c:pt idx="17">
                  <c:v>2.7842925606295768</c:v>
                </c:pt>
                <c:pt idx="18">
                  <c:v>3.1928299307519277</c:v>
                </c:pt>
                <c:pt idx="19">
                  <c:v>3.6884664883216609</c:v>
                </c:pt>
              </c:numCache>
            </c:numRef>
          </c:xVal>
          <c:yVal>
            <c:numRef>
              <c:f>'Section Calcs'!$V$127:$AO$127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6.2027165508162501</c:v>
                </c:pt>
                <c:pt idx="17">
                  <c:v>7.5539741078911371</c:v>
                </c:pt>
                <c:pt idx="18">
                  <c:v>8.9052316649660241</c:v>
                </c:pt>
                <c:pt idx="19">
                  <c:v>10.25648922204091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Sections!$A$50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'Section Calcs'!$V$135:$AO$135</c:f>
              <c:numCache>
                <c:formatCode>0.00</c:formatCode>
                <c:ptCount val="20"/>
                <c:pt idx="0">
                  <c:v>0</c:v>
                </c:pt>
                <c:pt idx="1">
                  <c:v>1.5267445869010648E-4</c:v>
                </c:pt>
                <c:pt idx="2">
                  <c:v>1.3821705012613875E-3</c:v>
                </c:pt>
                <c:pt idx="3">
                  <c:v>3.8962320303126243E-3</c:v>
                </c:pt>
                <c:pt idx="4">
                  <c:v>7.7517001642435556E-3</c:v>
                </c:pt>
                <c:pt idx="5">
                  <c:v>1.6157498887777906E-2</c:v>
                </c:pt>
                <c:pt idx="6">
                  <c:v>3.7484378513937378E-2</c:v>
                </c:pt>
                <c:pt idx="7">
                  <c:v>6.8309499516827313E-2</c:v>
                </c:pt>
                <c:pt idx="8">
                  <c:v>0.15884523341741333</c:v>
                </c:pt>
                <c:pt idx="9">
                  <c:v>0.28586674278371083</c:v>
                </c:pt>
                <c:pt idx="10">
                  <c:v>0.44318888047380284</c:v>
                </c:pt>
                <c:pt idx="11">
                  <c:v>0.62033931000968223</c:v>
                </c:pt>
                <c:pt idx="12">
                  <c:v>0.80255850557725184</c:v>
                </c:pt>
                <c:pt idx="13">
                  <c:v>0.97079975202632318</c:v>
                </c:pt>
                <c:pt idx="14">
                  <c:v>1.1017291448706124</c:v>
                </c:pt>
                <c:pt idx="15">
                  <c:v>1.1677255902877577</c:v>
                </c:pt>
                <c:pt idx="16">
                  <c:v>1.3100043233101375</c:v>
                </c:pt>
                <c:pt idx="17">
                  <c:v>1.5977088423028389</c:v>
                </c:pt>
                <c:pt idx="18">
                  <c:v>2.030839147265862</c:v>
                </c:pt>
                <c:pt idx="19">
                  <c:v>2.6093952381992067</c:v>
                </c:pt>
              </c:numCache>
            </c:numRef>
          </c:xVal>
          <c:yVal>
            <c:numRef>
              <c:f>'Section Calcs'!$V$132:$AO$132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6.3029825550590042</c:v>
                </c:pt>
                <c:pt idx="17">
                  <c:v>7.7545061163766444</c:v>
                </c:pt>
                <c:pt idx="18">
                  <c:v>9.2060296776942856</c:v>
                </c:pt>
                <c:pt idx="19">
                  <c:v>10.657553239011925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Sections!$A$51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'Section Calcs'!$AK$140:$AO$140</c:f>
              <c:numCache>
                <c:formatCode>0.00</c:formatCode>
                <c:ptCount val="5"/>
                <c:pt idx="0">
                  <c:v>0</c:v>
                </c:pt>
                <c:pt idx="1">
                  <c:v>0.11278119606000885</c:v>
                </c:pt>
                <c:pt idx="2">
                  <c:v>0.36691156815107367</c:v>
                </c:pt>
                <c:pt idx="3">
                  <c:v>0.76239111627319445</c:v>
                </c:pt>
                <c:pt idx="4">
                  <c:v>1.2992198404263713</c:v>
                </c:pt>
              </c:numCache>
            </c:numRef>
          </c:xVal>
          <c:yVal>
            <c:numRef>
              <c:f>'Section Calcs'!$AK$137:$AO$137</c:f>
              <c:numCache>
                <c:formatCode>0.00</c:formatCode>
                <c:ptCount val="5"/>
                <c:pt idx="0">
                  <c:v>4.8514589937413639</c:v>
                </c:pt>
                <c:pt idx="1">
                  <c:v>6.4175142136774248</c:v>
                </c:pt>
                <c:pt idx="2">
                  <c:v>7.9835694336134848</c:v>
                </c:pt>
                <c:pt idx="3">
                  <c:v>9.5496246535495448</c:v>
                </c:pt>
                <c:pt idx="4">
                  <c:v>11.115679873485606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83680"/>
        <c:axId val="111385216"/>
      </c:scatterChart>
      <c:valAx>
        <c:axId val="111383680"/>
        <c:scaling>
          <c:orientation val="minMax"/>
        </c:scaling>
        <c:delete val="0"/>
        <c:axPos val="b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385216"/>
        <c:crosses val="autoZero"/>
        <c:crossBetween val="midCat"/>
        <c:majorUnit val="2"/>
      </c:valAx>
      <c:valAx>
        <c:axId val="111385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1383680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273843166864419"/>
          <c:y val="4.723778380161496E-2"/>
          <c:w val="0.1084715780390465"/>
          <c:h val="0.82171469003533038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6885389326341"/>
          <c:y val="5.1400554097404488E-2"/>
          <c:w val="0.8127236389029352"/>
          <c:h val="0.8971988918051916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Sections!$C$30</c:f>
              <c:strCache>
                <c:ptCount val="1"/>
                <c:pt idx="0">
                  <c:v>Flare Angle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Sections!$C$31:$C$50</c:f>
              <c:numCache>
                <c:formatCode>0.00</c:formatCode>
                <c:ptCount val="20"/>
                <c:pt idx="0">
                  <c:v>1.2824749470946111</c:v>
                </c:pt>
                <c:pt idx="1">
                  <c:v>4.1395034771483425</c:v>
                </c:pt>
                <c:pt idx="2">
                  <c:v>5.2719322788055427</c:v>
                </c:pt>
                <c:pt idx="3">
                  <c:v>3.9982682321119314</c:v>
                </c:pt>
                <c:pt idx="4">
                  <c:v>0.94370153142118629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1.5866545434905122</c:v>
                </c:pt>
                <c:pt idx="11">
                  <c:v>6.7412857962523534</c:v>
                </c:pt>
                <c:pt idx="12">
                  <c:v>12.18096917290892</c:v>
                </c:pt>
                <c:pt idx="13">
                  <c:v>17.126677105651122</c:v>
                </c:pt>
                <c:pt idx="14">
                  <c:v>20.91061085942356</c:v>
                </c:pt>
                <c:pt idx="15">
                  <c:v>23.081547036781732</c:v>
                </c:pt>
                <c:pt idx="16">
                  <c:v>23.319003646585781</c:v>
                </c:pt>
                <c:pt idx="17">
                  <c:v>21.351537351515862</c:v>
                </c:pt>
                <c:pt idx="18">
                  <c:v>17.086278655224003</c:v>
                </c:pt>
                <c:pt idx="19">
                  <c:v>11.261155885047669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Sections!$D$29:$D$30</c:f>
              <c:strCache>
                <c:ptCount val="1"/>
                <c:pt idx="0">
                  <c:v>Recommended Deadrise Angle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Sections!$D$31:$D$50</c:f>
              <c:numCache>
                <c:formatCode>0.00</c:formatCode>
                <c:ptCount val="20"/>
                <c:pt idx="0">
                  <c:v>39.829560511310717</c:v>
                </c:pt>
                <c:pt idx="1">
                  <c:v>45.462668481033795</c:v>
                </c:pt>
                <c:pt idx="2">
                  <c:v>36.858886281317503</c:v>
                </c:pt>
                <c:pt idx="3">
                  <c:v>32.601751124332495</c:v>
                </c:pt>
                <c:pt idx="4">
                  <c:v>30.451384350955646</c:v>
                </c:pt>
                <c:pt idx="5">
                  <c:v>26.910017201086891</c:v>
                </c:pt>
                <c:pt idx="6">
                  <c:v>19.215311704494169</c:v>
                </c:pt>
                <c:pt idx="7">
                  <c:v>16.559295960007802</c:v>
                </c:pt>
                <c:pt idx="8">
                  <c:v>13.35150633328324</c:v>
                </c:pt>
                <c:pt idx="9">
                  <c:v>10.493884578402586</c:v>
                </c:pt>
                <c:pt idx="10">
                  <c:v>8.2209098305567778</c:v>
                </c:pt>
                <c:pt idx="11">
                  <c:v>5.5467527921985322</c:v>
                </c:pt>
                <c:pt idx="12">
                  <c:v>3.3683261971741558</c:v>
                </c:pt>
                <c:pt idx="13">
                  <c:v>2.1324176288467243</c:v>
                </c:pt>
                <c:pt idx="14">
                  <c:v>1.7512762740252583</c:v>
                </c:pt>
                <c:pt idx="15">
                  <c:v>3.3123586654853199</c:v>
                </c:pt>
                <c:pt idx="16">
                  <c:v>28.255931538698892</c:v>
                </c:pt>
                <c:pt idx="17">
                  <c:v>72.392092148085126</c:v>
                </c:pt>
                <c:pt idx="18">
                  <c:v>90.001159402769559</c:v>
                </c:pt>
                <c:pt idx="19">
                  <c:v>89.986037809451901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Sections!$E$29:$E$30</c:f>
              <c:strCache>
                <c:ptCount val="1"/>
                <c:pt idx="0">
                  <c:v>User Input Deadrise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FF00"/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Sections!$E$31:$E$50</c:f>
              <c:numCache>
                <c:formatCode>0.000</c:formatCode>
                <c:ptCount val="20"/>
              </c:numCache>
            </c:numRef>
          </c:yVal>
          <c:smooth val="1"/>
        </c:ser>
        <c:ser>
          <c:idx val="3"/>
          <c:order val="3"/>
          <c:tx>
            <c:strRef>
              <c:f>Sections!$V$30</c:f>
              <c:strCache>
                <c:ptCount val="1"/>
                <c:pt idx="0">
                  <c:v>Deadrise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Sections!$T$31:$T$50</c:f>
              <c:numCache>
                <c:formatCode>0.00</c:formatCode>
                <c:ptCount val="20"/>
                <c:pt idx="0">
                  <c:v>39.829560511310717</c:v>
                </c:pt>
                <c:pt idx="1">
                  <c:v>45.462668481033795</c:v>
                </c:pt>
                <c:pt idx="2">
                  <c:v>36.858886281317503</c:v>
                </c:pt>
                <c:pt idx="3">
                  <c:v>32.601751124332495</c:v>
                </c:pt>
                <c:pt idx="4">
                  <c:v>30.451384350955646</c:v>
                </c:pt>
                <c:pt idx="5">
                  <c:v>26.910017201086891</c:v>
                </c:pt>
                <c:pt idx="6">
                  <c:v>19.215311704494169</c:v>
                </c:pt>
                <c:pt idx="7">
                  <c:v>16.559295960007802</c:v>
                </c:pt>
                <c:pt idx="8">
                  <c:v>13.35150633328324</c:v>
                </c:pt>
                <c:pt idx="9">
                  <c:v>10.493884578402586</c:v>
                </c:pt>
                <c:pt idx="10">
                  <c:v>8.2209098305567778</c:v>
                </c:pt>
                <c:pt idx="11">
                  <c:v>5.5467527921985322</c:v>
                </c:pt>
                <c:pt idx="12">
                  <c:v>3.3683261971741558</c:v>
                </c:pt>
                <c:pt idx="13">
                  <c:v>2.1324176288467243</c:v>
                </c:pt>
                <c:pt idx="14">
                  <c:v>1.7512762740252583</c:v>
                </c:pt>
                <c:pt idx="15">
                  <c:v>3.3123586654853199</c:v>
                </c:pt>
                <c:pt idx="16">
                  <c:v>28.255931538698892</c:v>
                </c:pt>
                <c:pt idx="17">
                  <c:v>72.392092148085126</c:v>
                </c:pt>
                <c:pt idx="18">
                  <c:v>90.001159402769559</c:v>
                </c:pt>
                <c:pt idx="19">
                  <c:v>89.986037809451901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53952"/>
        <c:axId val="145056128"/>
      </c:scatterChart>
      <c:scatterChart>
        <c:scatterStyle val="smoothMarker"/>
        <c:varyColors val="0"/>
        <c:ser>
          <c:idx val="4"/>
          <c:order val="4"/>
          <c:tx>
            <c:strRef>
              <c:f>Sections!$B$29:$B$30</c:f>
              <c:strCache>
                <c:ptCount val="1"/>
                <c:pt idx="0">
                  <c:v>Local Section Area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accent1"/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Sections!$A$32:$A$51</c:f>
              <c:numCache>
                <c:formatCode>General</c:formatCode>
                <c:ptCount val="20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</c:numCache>
            </c:numRef>
          </c:xVal>
          <c:yVal>
            <c:numRef>
              <c:f>Sections!$B$32:$B$51</c:f>
              <c:numCache>
                <c:formatCode>0.000</c:formatCode>
                <c:ptCount val="20"/>
                <c:pt idx="0">
                  <c:v>0.66080599824936337</c:v>
                </c:pt>
                <c:pt idx="1">
                  <c:v>0.67703487754742775</c:v>
                </c:pt>
                <c:pt idx="2">
                  <c:v>0.68750940300717223</c:v>
                </c:pt>
                <c:pt idx="3">
                  <c:v>0.69388683474039825</c:v>
                </c:pt>
                <c:pt idx="4">
                  <c:v>0.70643271750229963</c:v>
                </c:pt>
                <c:pt idx="5">
                  <c:v>0.7229862657273981</c:v>
                </c:pt>
                <c:pt idx="6">
                  <c:v>0.74472413107950608</c:v>
                </c:pt>
                <c:pt idx="7">
                  <c:v>0.77319010532339305</c:v>
                </c:pt>
                <c:pt idx="8">
                  <c:v>0.80178109062488845</c:v>
                </c:pt>
                <c:pt idx="9">
                  <c:v>0.8212736388504005</c:v>
                </c:pt>
                <c:pt idx="10">
                  <c:v>0.83032235774506102</c:v>
                </c:pt>
                <c:pt idx="11">
                  <c:v>0.82890924862173876</c:v>
                </c:pt>
                <c:pt idx="12">
                  <c:v>0.81652308200155044</c:v>
                </c:pt>
                <c:pt idx="13">
                  <c:v>0.79216073152490651</c:v>
                </c:pt>
                <c:pt idx="14">
                  <c:v>0.7543684335729316</c:v>
                </c:pt>
                <c:pt idx="15">
                  <c:v>0.70134145729091024</c:v>
                </c:pt>
                <c:pt idx="16">
                  <c:v>0.63111367754702996</c:v>
                </c:pt>
                <c:pt idx="17">
                  <c:v>0.54187409409666798</c:v>
                </c:pt>
                <c:pt idx="18">
                  <c:v>0.43243572261102886</c:v>
                </c:pt>
                <c:pt idx="1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59200"/>
        <c:axId val="145057664"/>
      </c:scatterChart>
      <c:valAx>
        <c:axId val="145053952"/>
        <c:scaling>
          <c:orientation val="minMax"/>
          <c:max val="20"/>
        </c:scaling>
        <c:delete val="0"/>
        <c:axPos val="b"/>
        <c:majorGridlines>
          <c:spPr>
            <a:ln>
              <a:solidFill>
                <a:srgbClr val="1F497D">
                  <a:lumMod val="75000"/>
                </a:srgb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056128"/>
        <c:crosses val="autoZero"/>
        <c:crossBetween val="midCat"/>
      </c:valAx>
      <c:valAx>
        <c:axId val="145056128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tx2">
                <a:lumMod val="75000"/>
              </a:schemeClr>
            </a:solidFill>
          </a:ln>
        </c:spPr>
        <c:crossAx val="145053952"/>
        <c:crosses val="autoZero"/>
        <c:crossBetween val="midCat"/>
      </c:valAx>
      <c:valAx>
        <c:axId val="145057664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crossAx val="145059200"/>
        <c:crosses val="max"/>
        <c:crossBetween val="midCat"/>
      </c:valAx>
      <c:valAx>
        <c:axId val="14505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57664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2811110984498864"/>
          <c:y val="5.0693936481983462E-2"/>
          <c:w val="0.29914476912991822"/>
          <c:h val="0.2195860763306226"/>
        </c:manualLayout>
      </c:layout>
      <c:overlay val="0"/>
      <c:spPr>
        <a:solidFill>
          <a:schemeClr val="bg1"/>
        </a:solidFill>
        <a:ln>
          <a:solidFill>
            <a:srgbClr val="1F497D">
              <a:lumMod val="75000"/>
            </a:srgbClr>
          </a:solidFill>
        </a:ln>
      </c:sp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784684045334533E-2"/>
          <c:y val="6.3525474616219421E-2"/>
          <c:w val="0.84513443288922274"/>
          <c:h val="0.800364298724954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Sections!$A$31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-5.2937166452104896E-2</c:v>
                </c:pt>
                <c:pt idx="2">
                  <c:v>-0.16544872632776214</c:v>
                </c:pt>
                <c:pt idx="3">
                  <c:v>-0.2859545022834683</c:v>
                </c:pt>
                <c:pt idx="4">
                  <c:v>-0.41345969721352932</c:v>
                </c:pt>
                <c:pt idx="5">
                  <c:v>-0.61575445675841423</c:v>
                </c:pt>
                <c:pt idx="6">
                  <c:v>-0.97484699466596947</c:v>
                </c:pt>
                <c:pt idx="7">
                  <c:v>-1.3500947272724113</c:v>
                </c:pt>
                <c:pt idx="8">
                  <c:v>-2.103583621772787</c:v>
                </c:pt>
                <c:pt idx="9">
                  <c:v>-2.7994316308926606</c:v>
                </c:pt>
                <c:pt idx="10">
                  <c:v>-3.3834969256674712</c:v>
                </c:pt>
                <c:pt idx="11">
                  <c:v>-3.8242853575349827</c:v>
                </c:pt>
                <c:pt idx="12">
                  <c:v>-4.1129504583352805</c:v>
                </c:pt>
                <c:pt idx="13">
                  <c:v>-4.2632934403107807</c:v>
                </c:pt>
                <c:pt idx="14">
                  <c:v>-4.3117631961061811</c:v>
                </c:pt>
                <c:pt idx="15">
                  <c:v>-4.3174562987685938</c:v>
                </c:pt>
                <c:pt idx="16">
                  <c:v>-4.4193017708410149</c:v>
                </c:pt>
                <c:pt idx="17">
                  <c:v>-4.4660287061590669</c:v>
                </c:pt>
                <c:pt idx="18">
                  <c:v>-4.4576371047227505</c:v>
                </c:pt>
                <c:pt idx="19">
                  <c:v>-4.394126966532065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3.9920961237765931</c:v>
                </c:pt>
                <c:pt idx="1">
                  <c:v>4.0006897524762408</c:v>
                </c:pt>
                <c:pt idx="2">
                  <c:v>4.0178770098755363</c:v>
                </c:pt>
                <c:pt idx="3">
                  <c:v>4.0350642672748318</c:v>
                </c:pt>
                <c:pt idx="4">
                  <c:v>4.0522515246741273</c:v>
                </c:pt>
                <c:pt idx="5">
                  <c:v>4.0780324107730701</c:v>
                </c:pt>
                <c:pt idx="6">
                  <c:v>4.1210005542713084</c:v>
                </c:pt>
                <c:pt idx="7">
                  <c:v>4.1639686977695476</c:v>
                </c:pt>
                <c:pt idx="8">
                  <c:v>4.2499049847660242</c:v>
                </c:pt>
                <c:pt idx="9">
                  <c:v>4.3358412717625017</c:v>
                </c:pt>
                <c:pt idx="10">
                  <c:v>4.4217775587589783</c:v>
                </c:pt>
                <c:pt idx="11">
                  <c:v>4.5077138457554558</c:v>
                </c:pt>
                <c:pt idx="12">
                  <c:v>4.5936501327519323</c:v>
                </c:pt>
                <c:pt idx="13">
                  <c:v>4.6795864197484098</c:v>
                </c:pt>
                <c:pt idx="14">
                  <c:v>4.7655227067448864</c:v>
                </c:pt>
                <c:pt idx="15">
                  <c:v>4.8514589937413639</c:v>
                </c:pt>
                <c:pt idx="16">
                  <c:v>6.0019944988356464</c:v>
                </c:pt>
                <c:pt idx="17">
                  <c:v>7.1525300039299289</c:v>
                </c:pt>
                <c:pt idx="18">
                  <c:v>8.3030655090242114</c:v>
                </c:pt>
                <c:pt idx="19">
                  <c:v>9.4536010141184939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Sections!$A$32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xVal>
            <c:numRef>
              <c:f>'Section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-4.8388364445049466E-2</c:v>
                </c:pt>
                <c:pt idx="2">
                  <c:v>-0.15447795553391994</c:v>
                </c:pt>
                <c:pt idx="3">
                  <c:v>-0.27188146294275328</c:v>
                </c:pt>
                <c:pt idx="4">
                  <c:v>-0.39931563862409036</c:v>
                </c:pt>
                <c:pt idx="5">
                  <c:v>-0.60658157723434158</c:v>
                </c:pt>
                <c:pt idx="6">
                  <c:v>-0.98531933859008525</c:v>
                </c:pt>
                <c:pt idx="7">
                  <c:v>-1.3911276662351226</c:v>
                </c:pt>
                <c:pt idx="8">
                  <c:v>-2.2251573148426997</c:v>
                </c:pt>
                <c:pt idx="9">
                  <c:v>-3.0092123470544858</c:v>
                </c:pt>
                <c:pt idx="10">
                  <c:v>-3.6728573630249404</c:v>
                </c:pt>
                <c:pt idx="11">
                  <c:v>-4.1746797390655823</c:v>
                </c:pt>
                <c:pt idx="12">
                  <c:v>-4.5022896276449833</c:v>
                </c:pt>
                <c:pt idx="13">
                  <c:v>-4.672319957388769</c:v>
                </c:pt>
                <c:pt idx="14">
                  <c:v>-4.7304264330795851</c:v>
                </c:pt>
                <c:pt idx="15">
                  <c:v>-4.7512875356572248</c:v>
                </c:pt>
                <c:pt idx="16">
                  <c:v>-4.9467879594941753</c:v>
                </c:pt>
                <c:pt idx="17">
                  <c:v>-5.044449322894426</c:v>
                </c:pt>
                <c:pt idx="18">
                  <c:v>-5.0442716258579754</c:v>
                </c:pt>
                <c:pt idx="19">
                  <c:v>-4.9462548683848251</c:v>
                </c:pt>
              </c:numCache>
            </c:numRef>
          </c:xVal>
          <c:yVal>
            <c:numRef>
              <c:f>'Section Calcs'!$V$32:$AO$32</c:f>
              <c:numCache>
                <c:formatCode>0.00</c:formatCode>
                <c:ptCount val="20"/>
                <c:pt idx="0">
                  <c:v>3.2501121381991185</c:v>
                </c:pt>
                <c:pt idx="1">
                  <c:v>3.266125606754541</c:v>
                </c:pt>
                <c:pt idx="2">
                  <c:v>3.298152543865386</c:v>
                </c:pt>
                <c:pt idx="3">
                  <c:v>3.3301794809762306</c:v>
                </c:pt>
                <c:pt idx="4">
                  <c:v>3.3622064180870757</c:v>
                </c:pt>
                <c:pt idx="5">
                  <c:v>3.4102468237533432</c:v>
                </c:pt>
                <c:pt idx="6">
                  <c:v>3.4903141665304553</c:v>
                </c:pt>
                <c:pt idx="7">
                  <c:v>3.5703815093075675</c:v>
                </c:pt>
                <c:pt idx="8">
                  <c:v>3.7305161948617922</c:v>
                </c:pt>
                <c:pt idx="9">
                  <c:v>3.8906508804160165</c:v>
                </c:pt>
                <c:pt idx="10">
                  <c:v>4.0507855659702408</c:v>
                </c:pt>
                <c:pt idx="11">
                  <c:v>4.2109202515244659</c:v>
                </c:pt>
                <c:pt idx="12">
                  <c:v>4.3710549370786902</c:v>
                </c:pt>
                <c:pt idx="13">
                  <c:v>4.5311896226329145</c:v>
                </c:pt>
                <c:pt idx="14">
                  <c:v>4.6913243081871396</c:v>
                </c:pt>
                <c:pt idx="15">
                  <c:v>4.8514589937413639</c:v>
                </c:pt>
                <c:pt idx="16">
                  <c:v>5.9896851881849322</c:v>
                </c:pt>
                <c:pt idx="17">
                  <c:v>7.1279113826284997</c:v>
                </c:pt>
                <c:pt idx="18">
                  <c:v>8.2661375770720671</c:v>
                </c:pt>
                <c:pt idx="19">
                  <c:v>9.4043637715156354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Sections!$A$33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xVal>
            <c:numRef>
              <c:f>'Section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-7.0158490027806206E-2</c:v>
                </c:pt>
                <c:pt idx="2">
                  <c:v>-0.21745205342341509</c:v>
                </c:pt>
                <c:pt idx="3">
                  <c:v>-0.37305788242557142</c:v>
                </c:pt>
                <c:pt idx="4">
                  <c:v>-0.5358264788287801</c:v>
                </c:pt>
                <c:pt idx="5">
                  <c:v>-0.79100279989097455</c:v>
                </c:pt>
                <c:pt idx="6">
                  <c:v>-1.2370712307679004</c:v>
                </c:pt>
                <c:pt idx="7">
                  <c:v>-1.6962102074745526</c:v>
                </c:pt>
                <c:pt idx="8">
                  <c:v>-2.6020406982823925</c:v>
                </c:pt>
                <c:pt idx="9">
                  <c:v>-3.422281612590325</c:v>
                </c:pt>
                <c:pt idx="10">
                  <c:v>-4.0980891554183438</c:v>
                </c:pt>
                <c:pt idx="11">
                  <c:v>-4.5979883965306128</c:v>
                </c:pt>
                <c:pt idx="12">
                  <c:v>-4.9178732704354671</c:v>
                </c:pt>
                <c:pt idx="13">
                  <c:v>-5.0810065763854126</c:v>
                </c:pt>
                <c:pt idx="14">
                  <c:v>-5.1380199783770877</c:v>
                </c:pt>
                <c:pt idx="15">
                  <c:v>-5.1669140051513978</c:v>
                </c:pt>
                <c:pt idx="16">
                  <c:v>-5.3591453077745523</c:v>
                </c:pt>
                <c:pt idx="17">
                  <c:v>-5.474947420612696</c:v>
                </c:pt>
                <c:pt idx="18">
                  <c:v>-5.5143203436658315</c:v>
                </c:pt>
                <c:pt idx="19">
                  <c:v>-5.4772640769339551</c:v>
                </c:pt>
              </c:numCache>
            </c:numRef>
          </c:xVal>
          <c:yVal>
            <c:numRef>
              <c:f>'Section Calcs'!$V$38:$AO$38</c:f>
              <c:numCache>
                <c:formatCode>0.00</c:formatCode>
                <c:ptCount val="20"/>
                <c:pt idx="0">
                  <c:v>2.5220602308173645</c:v>
                </c:pt>
                <c:pt idx="1">
                  <c:v>2.5453542184466045</c:v>
                </c:pt>
                <c:pt idx="2">
                  <c:v>2.5919421937050844</c:v>
                </c:pt>
                <c:pt idx="3">
                  <c:v>2.6385301689635643</c:v>
                </c:pt>
                <c:pt idx="4">
                  <c:v>2.6851181442220446</c:v>
                </c:pt>
                <c:pt idx="5">
                  <c:v>2.7550001071097645</c:v>
                </c:pt>
                <c:pt idx="6">
                  <c:v>2.8714700452559643</c:v>
                </c:pt>
                <c:pt idx="7">
                  <c:v>2.9879399834021645</c:v>
                </c:pt>
                <c:pt idx="8">
                  <c:v>3.2208798596945645</c:v>
                </c:pt>
                <c:pt idx="9">
                  <c:v>3.4538197359869645</c:v>
                </c:pt>
                <c:pt idx="10">
                  <c:v>3.6867596122793644</c:v>
                </c:pt>
                <c:pt idx="11">
                  <c:v>3.919699488571764</c:v>
                </c:pt>
                <c:pt idx="12">
                  <c:v>4.1526393648641644</c:v>
                </c:pt>
                <c:pt idx="13">
                  <c:v>4.3855792411565639</c:v>
                </c:pt>
                <c:pt idx="14">
                  <c:v>4.6185191174489635</c:v>
                </c:pt>
                <c:pt idx="15">
                  <c:v>4.8514589937413639</c:v>
                </c:pt>
                <c:pt idx="16">
                  <c:v>5.9773759150470989</c:v>
                </c:pt>
                <c:pt idx="17">
                  <c:v>7.1032928363528338</c:v>
                </c:pt>
                <c:pt idx="18">
                  <c:v>8.2292097576585697</c:v>
                </c:pt>
                <c:pt idx="19">
                  <c:v>9.3551266789643037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Sections!$A$34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xVal>
            <c:numRef>
              <c:f>'Section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-8.804020579233697E-2</c:v>
                </c:pt>
                <c:pt idx="2">
                  <c:v>-0.26923778478322219</c:v>
                </c:pt>
                <c:pt idx="3">
                  <c:v>-0.45637151278810661</c:v>
                </c:pt>
                <c:pt idx="4">
                  <c:v>-0.64841270590986111</c:v>
                </c:pt>
                <c:pt idx="5">
                  <c:v>-0.94352532360668073</c:v>
                </c:pt>
                <c:pt idx="6">
                  <c:v>-1.4464946570633774</c:v>
                </c:pt>
                <c:pt idx="7">
                  <c:v>-1.9518933241948586</c:v>
                </c:pt>
                <c:pt idx="8">
                  <c:v>-2.9243368357738184</c:v>
                </c:pt>
                <c:pt idx="9">
                  <c:v>-3.7853780752168924</c:v>
                </c:pt>
                <c:pt idx="10">
                  <c:v>-4.4848286422614541</c:v>
                </c:pt>
                <c:pt idx="11">
                  <c:v>-4.9977895195089221</c:v>
                </c:pt>
                <c:pt idx="12">
                  <c:v>-5.3246510724247642</c:v>
                </c:pt>
                <c:pt idx="13">
                  <c:v>-5.4910930493384935</c:v>
                </c:pt>
                <c:pt idx="14">
                  <c:v>-5.5480845814436295</c:v>
                </c:pt>
                <c:pt idx="15">
                  <c:v>-5.5718841827978496</c:v>
                </c:pt>
                <c:pt idx="16">
                  <c:v>-5.7030009954231096</c:v>
                </c:pt>
                <c:pt idx="17">
                  <c:v>-5.8099926618499156</c:v>
                </c:pt>
                <c:pt idx="18">
                  <c:v>-5.8928591820782641</c:v>
                </c:pt>
                <c:pt idx="19">
                  <c:v>-5.9516005561081613</c:v>
                </c:pt>
              </c:numCache>
            </c:numRef>
          </c:xVal>
          <c:yVal>
            <c:numRef>
              <c:f>'Section Calcs'!$V$44:$AO$44</c:f>
              <c:numCache>
                <c:formatCode>0.00</c:formatCode>
                <c:ptCount val="20"/>
                <c:pt idx="0">
                  <c:v>1.822392570788296</c:v>
                </c:pt>
                <c:pt idx="1">
                  <c:v>1.8526832350178266</c:v>
                </c:pt>
                <c:pt idx="2">
                  <c:v>1.9132645634768881</c:v>
                </c:pt>
                <c:pt idx="3">
                  <c:v>1.9738458919359494</c:v>
                </c:pt>
                <c:pt idx="4">
                  <c:v>2.0344272203950107</c:v>
                </c:pt>
                <c:pt idx="5">
                  <c:v>2.1252992130836028</c:v>
                </c:pt>
                <c:pt idx="6">
                  <c:v>2.2767525342312562</c:v>
                </c:pt>
                <c:pt idx="7">
                  <c:v>2.4282058553789096</c:v>
                </c:pt>
                <c:pt idx="8">
                  <c:v>2.731112497674216</c:v>
                </c:pt>
                <c:pt idx="9">
                  <c:v>3.0340191399695233</c:v>
                </c:pt>
                <c:pt idx="10">
                  <c:v>3.3369257822648297</c:v>
                </c:pt>
                <c:pt idx="11">
                  <c:v>3.6398324245601366</c:v>
                </c:pt>
                <c:pt idx="12">
                  <c:v>3.9427390668554434</c:v>
                </c:pt>
                <c:pt idx="13">
                  <c:v>4.2456457091507502</c:v>
                </c:pt>
                <c:pt idx="14">
                  <c:v>4.5485523514460571</c:v>
                </c:pt>
                <c:pt idx="15">
                  <c:v>4.8514589937413639</c:v>
                </c:pt>
                <c:pt idx="16">
                  <c:v>5.9650665258665985</c:v>
                </c:pt>
                <c:pt idx="17">
                  <c:v>7.078674057991833</c:v>
                </c:pt>
                <c:pt idx="18">
                  <c:v>8.1922815901170676</c:v>
                </c:pt>
                <c:pt idx="19">
                  <c:v>9.3058891222423021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Sections!$A$35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xVal>
            <c:numRef>
              <c:f>'Section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-0.10208689805996866</c:v>
                </c:pt>
                <c:pt idx="2">
                  <c:v>-0.31001397090694477</c:v>
                </c:pt>
                <c:pt idx="3">
                  <c:v>-0.52214686961074364</c:v>
                </c:pt>
                <c:pt idx="4">
                  <c:v>-0.73755949835285617</c:v>
                </c:pt>
                <c:pt idx="5">
                  <c:v>-1.0648925392002133</c:v>
                </c:pt>
                <c:pt idx="6">
                  <c:v>-1.614771633996865</c:v>
                </c:pt>
                <c:pt idx="7">
                  <c:v>-2.1597543112186832</c:v>
                </c:pt>
                <c:pt idx="8">
                  <c:v>-3.1940887017573534</c:v>
                </c:pt>
                <c:pt idx="9">
                  <c:v>-4.1003676083505454</c:v>
                </c:pt>
                <c:pt idx="10">
                  <c:v>-4.8340314403649538</c:v>
                </c:pt>
                <c:pt idx="11">
                  <c:v>-5.373489118999653</c:v>
                </c:pt>
                <c:pt idx="12">
                  <c:v>-5.720118077286096</c:v>
                </c:pt>
                <c:pt idx="13">
                  <c:v>-5.8982642600881148</c:v>
                </c:pt>
                <c:pt idx="14">
                  <c:v>-5.955242124101872</c:v>
                </c:pt>
                <c:pt idx="15">
                  <c:v>-5.9613346378560355</c:v>
                </c:pt>
                <c:pt idx="16">
                  <c:v>-6.0078110847665283</c:v>
                </c:pt>
                <c:pt idx="17">
                  <c:v>-6.0882168120116846</c:v>
                </c:pt>
                <c:pt idx="18">
                  <c:v>-6.2025518195915028</c:v>
                </c:pt>
                <c:pt idx="19">
                  <c:v>-6.3508161075059864</c:v>
                </c:pt>
              </c:numCache>
            </c:numRef>
          </c:xVal>
          <c:yVal>
            <c:numRef>
              <c:f>'Section Calcs'!$V$50:$AO$50</c:f>
              <c:numCache>
                <c:formatCode>0.00</c:formatCode>
                <c:ptCount val="20"/>
                <c:pt idx="0">
                  <c:v>1.1870490124574347</c:v>
                </c:pt>
                <c:pt idx="1">
                  <c:v>1.2236931122702739</c:v>
                </c:pt>
                <c:pt idx="2">
                  <c:v>1.2969813118959526</c:v>
                </c:pt>
                <c:pt idx="3">
                  <c:v>1.3702695115216312</c:v>
                </c:pt>
                <c:pt idx="4">
                  <c:v>1.4435577111473097</c:v>
                </c:pt>
                <c:pt idx="5">
                  <c:v>1.5534900105858276</c:v>
                </c:pt>
                <c:pt idx="6">
                  <c:v>1.7367105096500239</c:v>
                </c:pt>
                <c:pt idx="7">
                  <c:v>1.9199310087142205</c:v>
                </c:pt>
                <c:pt idx="8">
                  <c:v>2.2863720068426137</c:v>
                </c:pt>
                <c:pt idx="9">
                  <c:v>2.6528130049710064</c:v>
                </c:pt>
                <c:pt idx="10">
                  <c:v>3.0192540030993991</c:v>
                </c:pt>
                <c:pt idx="11">
                  <c:v>3.3856950012277922</c:v>
                </c:pt>
                <c:pt idx="12">
                  <c:v>3.7521359993561849</c:v>
                </c:pt>
                <c:pt idx="13">
                  <c:v>4.1185769974845776</c:v>
                </c:pt>
                <c:pt idx="14">
                  <c:v>4.4850179956129708</c:v>
                </c:pt>
                <c:pt idx="15">
                  <c:v>4.8514589937413639</c:v>
                </c:pt>
                <c:pt idx="16">
                  <c:v>5.9527575044260921</c:v>
                </c:pt>
                <c:pt idx="17">
                  <c:v>7.0540560151108211</c:v>
                </c:pt>
                <c:pt idx="18">
                  <c:v>8.1553545257955502</c:v>
                </c:pt>
                <c:pt idx="19">
                  <c:v>9.2566530364802784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Sections!$A$36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'Section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-0.12475018330222053</c:v>
                </c:pt>
                <c:pt idx="2">
                  <c:v>-0.37510746987603932</c:v>
                </c:pt>
                <c:pt idx="3">
                  <c:v>-0.62598766347586121</c:v>
                </c:pt>
                <c:pt idx="4">
                  <c:v>-0.87667410151392333</c:v>
                </c:pt>
                <c:pt idx="5">
                  <c:v>-1.2508484826033388</c:v>
                </c:pt>
                <c:pt idx="6">
                  <c:v>-1.8642258835748</c:v>
                </c:pt>
                <c:pt idx="7">
                  <c:v>-2.4569651199057132</c:v>
                </c:pt>
                <c:pt idx="8">
                  <c:v>-3.5499192493232425</c:v>
                </c:pt>
                <c:pt idx="9">
                  <c:v>-4.4805094454416183</c:v>
                </c:pt>
                <c:pt idx="10">
                  <c:v>-5.2187635200160916</c:v>
                </c:pt>
                <c:pt idx="11">
                  <c:v>-5.7539385219714818</c:v>
                </c:pt>
                <c:pt idx="12">
                  <c:v>-6.0945207374021839</c:v>
                </c:pt>
                <c:pt idx="13">
                  <c:v>-6.2682256895721569</c:v>
                </c:pt>
                <c:pt idx="14">
                  <c:v>-6.3219981389148883</c:v>
                </c:pt>
                <c:pt idx="15">
                  <c:v>-6.3220120830335524</c:v>
                </c:pt>
                <c:pt idx="16">
                  <c:v>-6.2868789083023771</c:v>
                </c:pt>
                <c:pt idx="17">
                  <c:v>-6.3326985013917305</c:v>
                </c:pt>
                <c:pt idx="18">
                  <c:v>-6.459470862301611</c:v>
                </c:pt>
                <c:pt idx="19">
                  <c:v>-6.6671959910320213</c:v>
                </c:pt>
              </c:numCache>
            </c:numRef>
          </c:xVal>
          <c:yVal>
            <c:numRef>
              <c:f>'Section Calcs'!$V$56:$AO$56</c:f>
              <c:numCache>
                <c:formatCode>0.00</c:formatCode>
                <c:ptCount val="20"/>
                <c:pt idx="0">
                  <c:v>0.68797988774569951</c:v>
                </c:pt>
                <c:pt idx="1">
                  <c:v>0.72961467880565611</c:v>
                </c:pt>
                <c:pt idx="2">
                  <c:v>0.81288426092556942</c:v>
                </c:pt>
                <c:pt idx="3">
                  <c:v>0.89615384304548273</c:v>
                </c:pt>
                <c:pt idx="4">
                  <c:v>0.97942342516539604</c:v>
                </c:pt>
                <c:pt idx="5">
                  <c:v>1.104327798345266</c:v>
                </c:pt>
                <c:pt idx="6">
                  <c:v>1.3125017536450492</c:v>
                </c:pt>
                <c:pt idx="7">
                  <c:v>1.5206757089448324</c:v>
                </c:pt>
                <c:pt idx="8">
                  <c:v>1.9370236195443988</c:v>
                </c:pt>
                <c:pt idx="9">
                  <c:v>2.3533715301439653</c:v>
                </c:pt>
                <c:pt idx="10">
                  <c:v>2.7697194407435317</c:v>
                </c:pt>
                <c:pt idx="11">
                  <c:v>3.1860673513430982</c:v>
                </c:pt>
                <c:pt idx="12">
                  <c:v>3.6024152619426646</c:v>
                </c:pt>
                <c:pt idx="13">
                  <c:v>4.018763172542231</c:v>
                </c:pt>
                <c:pt idx="14">
                  <c:v>4.4351110831417975</c:v>
                </c:pt>
                <c:pt idx="15">
                  <c:v>4.8514589937413639</c:v>
                </c:pt>
                <c:pt idx="16">
                  <c:v>5.9404473434502805</c:v>
                </c:pt>
                <c:pt idx="17">
                  <c:v>7.029435693159197</c:v>
                </c:pt>
                <c:pt idx="18">
                  <c:v>8.1184240428681136</c:v>
                </c:pt>
                <c:pt idx="19">
                  <c:v>9.2074123925770301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Sections!$A$37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xVal>
            <c:numRef>
              <c:f>'Section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-0.19038952026832795</c:v>
                </c:pt>
                <c:pt idx="2">
                  <c:v>-0.5572262850790074</c:v>
                </c:pt>
                <c:pt idx="3">
                  <c:v>-0.90627820954820826</c:v>
                </c:pt>
                <c:pt idx="4">
                  <c:v>-1.2384535796070997</c:v>
                </c:pt>
                <c:pt idx="5">
                  <c:v>-1.7069115535751389</c:v>
                </c:pt>
                <c:pt idx="6">
                  <c:v>-2.4145285209136733</c:v>
                </c:pt>
                <c:pt idx="7">
                  <c:v>-3.0398219621256741</c:v>
                </c:pt>
                <c:pt idx="8">
                  <c:v>-4.078598230510269</c:v>
                </c:pt>
                <c:pt idx="9">
                  <c:v>-4.8818779922571665</c:v>
                </c:pt>
                <c:pt idx="10">
                  <c:v>-5.4936836812499967</c:v>
                </c:pt>
                <c:pt idx="11">
                  <c:v>-5.9477089168865716</c:v>
                </c:pt>
                <c:pt idx="12">
                  <c:v>-6.2701799255594999</c:v>
                </c:pt>
                <c:pt idx="13">
                  <c:v>-6.4818156512080227</c:v>
                </c:pt>
                <c:pt idx="14">
                  <c:v>-6.5992012522373464</c:v>
                </c:pt>
                <c:pt idx="15">
                  <c:v>-6.6357700730737044</c:v>
                </c:pt>
                <c:pt idx="16">
                  <c:v>-6.5417224195955015</c:v>
                </c:pt>
                <c:pt idx="17">
                  <c:v>-6.5545155872620544</c:v>
                </c:pt>
                <c:pt idx="18">
                  <c:v>-6.674149576073364</c:v>
                </c:pt>
                <c:pt idx="19">
                  <c:v>-6.9006243860294267</c:v>
                </c:pt>
              </c:numCache>
            </c:numRef>
          </c:xVal>
          <c:yVal>
            <c:numRef>
              <c:f>'Section Calcs'!$V$62:$AO$62</c:f>
              <c:numCache>
                <c:formatCode>0.00</c:formatCode>
                <c:ptCount val="20"/>
                <c:pt idx="0">
                  <c:v>0.32480778077737416</c:v>
                </c:pt>
                <c:pt idx="1">
                  <c:v>0.37007429290701405</c:v>
                </c:pt>
                <c:pt idx="2">
                  <c:v>0.46060731716629388</c:v>
                </c:pt>
                <c:pt idx="3">
                  <c:v>0.55114034142557367</c:v>
                </c:pt>
                <c:pt idx="4">
                  <c:v>0.64167336568485345</c:v>
                </c:pt>
                <c:pt idx="5">
                  <c:v>0.77747290207377318</c:v>
                </c:pt>
                <c:pt idx="6">
                  <c:v>1.0038054627219726</c:v>
                </c:pt>
                <c:pt idx="7">
                  <c:v>1.2301380233701722</c:v>
                </c:pt>
                <c:pt idx="8">
                  <c:v>1.682803144666571</c:v>
                </c:pt>
                <c:pt idx="9">
                  <c:v>2.1354682659629702</c:v>
                </c:pt>
                <c:pt idx="10">
                  <c:v>2.588133387259369</c:v>
                </c:pt>
                <c:pt idx="11">
                  <c:v>3.0407985085557678</c:v>
                </c:pt>
                <c:pt idx="12">
                  <c:v>3.4934636298521666</c:v>
                </c:pt>
                <c:pt idx="13">
                  <c:v>3.9461287511485663</c:v>
                </c:pt>
                <c:pt idx="14">
                  <c:v>4.3987938724449647</c:v>
                </c:pt>
                <c:pt idx="15">
                  <c:v>4.8514589937413639</c:v>
                </c:pt>
                <c:pt idx="16">
                  <c:v>5.9281405899156017</c:v>
                </c:pt>
                <c:pt idx="17">
                  <c:v>7.0048221860898394</c:v>
                </c:pt>
                <c:pt idx="18">
                  <c:v>8.0815037822640772</c:v>
                </c:pt>
                <c:pt idx="19">
                  <c:v>9.1581853784383149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Sections!$A$38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xVal>
            <c:numRef>
              <c:f>'Section Calcs'!$V$72:$AO$72</c:f>
              <c:numCache>
                <c:formatCode>0.00</c:formatCode>
                <c:ptCount val="20"/>
                <c:pt idx="0">
                  <c:v>0</c:v>
                </c:pt>
                <c:pt idx="1">
                  <c:v>-0.23147072826309903</c:v>
                </c:pt>
                <c:pt idx="2">
                  <c:v>-0.67152389363127696</c:v>
                </c:pt>
                <c:pt idx="3">
                  <c:v>-1.0830837141222645</c:v>
                </c:pt>
                <c:pt idx="4">
                  <c:v>-1.4683596726643315</c:v>
                </c:pt>
                <c:pt idx="5">
                  <c:v>-2.0012834142248481</c:v>
                </c:pt>
                <c:pt idx="6">
                  <c:v>-2.7835682692985122</c:v>
                </c:pt>
                <c:pt idx="7">
                  <c:v>-3.4524966098553262</c:v>
                </c:pt>
                <c:pt idx="8">
                  <c:v>-4.5180431511949317</c:v>
                </c:pt>
                <c:pt idx="9">
                  <c:v>-5.3027469262578313</c:v>
                </c:pt>
                <c:pt idx="10">
                  <c:v>-5.876599552323464</c:v>
                </c:pt>
                <c:pt idx="11">
                  <c:v>-6.288118807457856</c:v>
                </c:pt>
                <c:pt idx="12">
                  <c:v>-6.5719973383642332</c:v>
                </c:pt>
                <c:pt idx="13">
                  <c:v>-6.7536995269223912</c:v>
                </c:pt>
                <c:pt idx="14">
                  <c:v>-6.8523385689872871</c:v>
                </c:pt>
                <c:pt idx="15">
                  <c:v>-6.8825403521952069</c:v>
                </c:pt>
                <c:pt idx="16">
                  <c:v>-6.7643808102871965</c:v>
                </c:pt>
                <c:pt idx="17">
                  <c:v>-6.7538348463499638</c:v>
                </c:pt>
                <c:pt idx="18">
                  <c:v>-6.8509024603835087</c:v>
                </c:pt>
                <c:pt idx="19">
                  <c:v>-7.0555836523878313</c:v>
                </c:pt>
              </c:numCache>
            </c:numRef>
          </c:xVal>
          <c:yVal>
            <c:numRef>
              <c:f>'Section Calcs'!$V$68:$AO$68</c:f>
              <c:numCache>
                <c:formatCode>0.00</c:formatCode>
                <c:ptCount val="20"/>
                <c:pt idx="0">
                  <c:v>0.10022341115138911</c:v>
                </c:pt>
                <c:pt idx="1">
                  <c:v>0.14773576697728885</c:v>
                </c:pt>
                <c:pt idx="2">
                  <c:v>0.24276047862908834</c:v>
                </c:pt>
                <c:pt idx="3">
                  <c:v>0.33778519028088783</c:v>
                </c:pt>
                <c:pt idx="4">
                  <c:v>0.43280990193268737</c:v>
                </c:pt>
                <c:pt idx="5">
                  <c:v>0.57534696941038654</c:v>
                </c:pt>
                <c:pt idx="6">
                  <c:v>0.81290874853988526</c:v>
                </c:pt>
                <c:pt idx="7">
                  <c:v>1.050470527669384</c:v>
                </c:pt>
                <c:pt idx="8">
                  <c:v>1.5255940859283814</c:v>
                </c:pt>
                <c:pt idx="9">
                  <c:v>2.0007176441873789</c:v>
                </c:pt>
                <c:pt idx="10">
                  <c:v>2.4758412024463765</c:v>
                </c:pt>
                <c:pt idx="11">
                  <c:v>2.9509647607053737</c:v>
                </c:pt>
                <c:pt idx="12">
                  <c:v>3.4260883189643714</c:v>
                </c:pt>
                <c:pt idx="13">
                  <c:v>3.901211877223369</c:v>
                </c:pt>
                <c:pt idx="14">
                  <c:v>4.3763354354823667</c:v>
                </c:pt>
                <c:pt idx="15">
                  <c:v>4.8514589937413639</c:v>
                </c:pt>
                <c:pt idx="16">
                  <c:v>5.9158241806935772</c:v>
                </c:pt>
                <c:pt idx="17">
                  <c:v>6.9801893676457905</c:v>
                </c:pt>
                <c:pt idx="18">
                  <c:v>8.0445545545980046</c:v>
                </c:pt>
                <c:pt idx="19">
                  <c:v>9.108919741550217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Sections!$A$39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xVal>
            <c:numRef>
              <c:f>'Section Calcs'!$V$78:$AO$78</c:f>
              <c:numCache>
                <c:formatCode>0.00</c:formatCode>
                <c:ptCount val="20"/>
                <c:pt idx="0">
                  <c:v>0</c:v>
                </c:pt>
                <c:pt idx="1">
                  <c:v>-0.29673874731372168</c:v>
                </c:pt>
                <c:pt idx="2">
                  <c:v>-0.84762916965164448</c:v>
                </c:pt>
                <c:pt idx="3">
                  <c:v>-1.3476416600722154</c:v>
                </c:pt>
                <c:pt idx="4">
                  <c:v>-1.8028716209221038</c:v>
                </c:pt>
                <c:pt idx="5">
                  <c:v>-2.412822281225917</c:v>
                </c:pt>
                <c:pt idx="6">
                  <c:v>-3.268489483956996</c:v>
                </c:pt>
                <c:pt idx="7">
                  <c:v>-3.9644628756650735</c:v>
                </c:pt>
                <c:pt idx="8">
                  <c:v>-5.0084368325525626</c:v>
                </c:pt>
                <c:pt idx="9">
                  <c:v>-5.7280578632245298</c:v>
                </c:pt>
                <c:pt idx="10">
                  <c:v>-6.2278642035327723</c:v>
                </c:pt>
                <c:pt idx="11">
                  <c:v>-6.5718288590696341</c:v>
                </c:pt>
                <c:pt idx="12">
                  <c:v>-6.8012958675668722</c:v>
                </c:pt>
                <c:pt idx="13">
                  <c:v>-6.9441729666729124</c:v>
                </c:pt>
                <c:pt idx="14">
                  <c:v>-7.0199797368229166</c:v>
                </c:pt>
                <c:pt idx="15">
                  <c:v>-7.0427788503840265</c:v>
                </c:pt>
                <c:pt idx="16">
                  <c:v>-6.9402745355749627</c:v>
                </c:pt>
                <c:pt idx="17">
                  <c:v>-6.9220601408196778</c:v>
                </c:pt>
                <c:pt idx="18">
                  <c:v>-6.9881356661181702</c:v>
                </c:pt>
                <c:pt idx="19">
                  <c:v>-7.1385011114704451</c:v>
                </c:pt>
              </c:numCache>
            </c:numRef>
          </c:xVal>
          <c:yVal>
            <c:numRef>
              <c:f>'Section Calcs'!$V$74:$AO$74</c:f>
              <c:numCache>
                <c:formatCode>0.00</c:formatCode>
                <c:ptCount val="20"/>
                <c:pt idx="0">
                  <c:v>1.1197446890085949E-2</c:v>
                </c:pt>
                <c:pt idx="1">
                  <c:v>5.9600062358598729E-2</c:v>
                </c:pt>
                <c:pt idx="2">
                  <c:v>0.15640529329562428</c:v>
                </c:pt>
                <c:pt idx="3">
                  <c:v>0.25321052423264989</c:v>
                </c:pt>
                <c:pt idx="4">
                  <c:v>0.35001575516967542</c:v>
                </c:pt>
                <c:pt idx="5">
                  <c:v>0.49522360157521378</c:v>
                </c:pt>
                <c:pt idx="6">
                  <c:v>0.73723667891777767</c:v>
                </c:pt>
                <c:pt idx="7">
                  <c:v>0.97924975626034161</c:v>
                </c:pt>
                <c:pt idx="8">
                  <c:v>1.4632759109454694</c:v>
                </c:pt>
                <c:pt idx="9">
                  <c:v>1.9473020656305973</c:v>
                </c:pt>
                <c:pt idx="10">
                  <c:v>2.4313282203157249</c:v>
                </c:pt>
                <c:pt idx="11">
                  <c:v>2.9153543750008528</c:v>
                </c:pt>
                <c:pt idx="12">
                  <c:v>3.3993805296859803</c:v>
                </c:pt>
                <c:pt idx="13">
                  <c:v>3.8834066843711086</c:v>
                </c:pt>
                <c:pt idx="14">
                  <c:v>4.367432839056236</c:v>
                </c:pt>
                <c:pt idx="15">
                  <c:v>4.8514589937413639</c:v>
                </c:pt>
                <c:pt idx="16">
                  <c:v>5.9035327691977448</c:v>
                </c:pt>
                <c:pt idx="17">
                  <c:v>6.9556065446541258</c:v>
                </c:pt>
                <c:pt idx="18">
                  <c:v>8.0076803201105058</c:v>
                </c:pt>
                <c:pt idx="19">
                  <c:v>9.0597540955668876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Sections!$A$40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xVal>
            <c:numRef>
              <c:f>'Section Calcs'!$V$84:$AO$84</c:f>
              <c:numCache>
                <c:formatCode>0.00</c:formatCode>
                <c:ptCount val="20"/>
                <c:pt idx="0">
                  <c:v>0</c:v>
                </c:pt>
                <c:pt idx="1">
                  <c:v>-0.38327691007826786</c:v>
                </c:pt>
                <c:pt idx="2">
                  <c:v>-1.0712072671753523</c:v>
                </c:pt>
                <c:pt idx="3">
                  <c:v>-1.6703098366310154</c:v>
                </c:pt>
                <c:pt idx="4">
                  <c:v>-2.1959206346143616</c:v>
                </c:pt>
                <c:pt idx="5">
                  <c:v>-2.872089762380106</c:v>
                </c:pt>
                <c:pt idx="6">
                  <c:v>-3.7697261666408775</c:v>
                </c:pt>
                <c:pt idx="7">
                  <c:v>-4.4587562769922533</c:v>
                </c:pt>
                <c:pt idx="8">
                  <c:v>-5.4277215995053592</c:v>
                </c:pt>
                <c:pt idx="9">
                  <c:v>-6.0524959802283389</c:v>
                </c:pt>
                <c:pt idx="10">
                  <c:v>-6.4658817401072417</c:v>
                </c:pt>
                <c:pt idx="11">
                  <c:v>-6.7401463362568315</c:v>
                </c:pt>
                <c:pt idx="12">
                  <c:v>-6.9179856571096687</c:v>
                </c:pt>
                <c:pt idx="13">
                  <c:v>-7.0262459945479785</c:v>
                </c:pt>
                <c:pt idx="14">
                  <c:v>-7.0826540838357497</c:v>
                </c:pt>
                <c:pt idx="15">
                  <c:v>-7.0993863285373875</c:v>
                </c:pt>
                <c:pt idx="16">
                  <c:v>-7.0505917104956772</c:v>
                </c:pt>
                <c:pt idx="17">
                  <c:v>-7.0436921565934139</c:v>
                </c:pt>
                <c:pt idx="18">
                  <c:v>-7.0786876668305974</c:v>
                </c:pt>
                <c:pt idx="19">
                  <c:v>-7.1555782412072286</c:v>
                </c:pt>
              </c:numCache>
            </c:numRef>
          </c:xVal>
          <c:yVal>
            <c:numRef>
              <c:f>'Section Calcs'!$V$80:$AO$80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5.8911876791823943</c:v>
                </c:pt>
                <c:pt idx="17">
                  <c:v>6.9309163646234246</c:v>
                </c:pt>
                <c:pt idx="18">
                  <c:v>7.970645050064455</c:v>
                </c:pt>
                <c:pt idx="19">
                  <c:v>9.0103737355054854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Sections!$A$41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0.48722035761400562</c:v>
                </c:pt>
                <c:pt idx="2">
                  <c:v>1.3209008727909985</c:v>
                </c:pt>
                <c:pt idx="3">
                  <c:v>2.0073208326207683</c:v>
                </c:pt>
                <c:pt idx="4">
                  <c:v>2.5815194313755394</c:v>
                </c:pt>
                <c:pt idx="5">
                  <c:v>3.2846025540624413</c:v>
                </c:pt>
                <c:pt idx="6">
                  <c:v>4.1615189796341889</c:v>
                </c:pt>
                <c:pt idx="7">
                  <c:v>4.795214031363737</c:v>
                </c:pt>
                <c:pt idx="8">
                  <c:v>5.6356020504387363</c:v>
                </c:pt>
                <c:pt idx="9">
                  <c:v>6.1511451292409047</c:v>
                </c:pt>
                <c:pt idx="10">
                  <c:v>6.4847025238582088</c:v>
                </c:pt>
                <c:pt idx="11">
                  <c:v>6.7060750503105959</c:v>
                </c:pt>
                <c:pt idx="12">
                  <c:v>6.8534137209162491</c:v>
                </c:pt>
                <c:pt idx="13">
                  <c:v>6.9493320201251318</c:v>
                </c:pt>
                <c:pt idx="14">
                  <c:v>7.0080848181571458</c:v>
                </c:pt>
                <c:pt idx="15">
                  <c:v>7.0391036724598841</c:v>
                </c:pt>
                <c:pt idx="16">
                  <c:v>7.0745672028940625</c:v>
                </c:pt>
                <c:pt idx="17">
                  <c:v>7.0983723900706526</c:v>
                </c:pt>
                <c:pt idx="18">
                  <c:v>7.1105192339896552</c:v>
                </c:pt>
                <c:pt idx="19">
                  <c:v>7.1110077346510696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5.8789014874420875</c:v>
                </c:pt>
                <c:pt idx="17">
                  <c:v>6.9063439811428102</c:v>
                </c:pt>
                <c:pt idx="18">
                  <c:v>7.9337864748435329</c:v>
                </c:pt>
                <c:pt idx="19">
                  <c:v>8.9612289685442565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Sections!$A$42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'Section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0.70571449868628622</c:v>
                </c:pt>
                <c:pt idx="2">
                  <c:v>1.772966030232586</c:v>
                </c:pt>
                <c:pt idx="3">
                  <c:v>2.5422319141929957</c:v>
                </c:pt>
                <c:pt idx="4">
                  <c:v>3.1234770613226468</c:v>
                </c:pt>
                <c:pt idx="5">
                  <c:v>3.770942288355438</c:v>
                </c:pt>
                <c:pt idx="6">
                  <c:v>4.4983189476229501</c:v>
                </c:pt>
                <c:pt idx="7">
                  <c:v>4.981377470395727</c:v>
                </c:pt>
                <c:pt idx="8">
                  <c:v>5.5879349254714477</c:v>
                </c:pt>
                <c:pt idx="9">
                  <c:v>5.958392126388631</c:v>
                </c:pt>
                <c:pt idx="10">
                  <c:v>6.2122754524313493</c:v>
                </c:pt>
                <c:pt idx="11">
                  <c:v>6.4000796958574666</c:v>
                </c:pt>
                <c:pt idx="12">
                  <c:v>6.546816196096664</c:v>
                </c:pt>
                <c:pt idx="13">
                  <c:v>6.6662878525577449</c:v>
                </c:pt>
                <c:pt idx="14">
                  <c:v>6.7667351848195789</c:v>
                </c:pt>
                <c:pt idx="15">
                  <c:v>6.8533818357117688</c:v>
                </c:pt>
                <c:pt idx="16">
                  <c:v>6.9915309103973096</c:v>
                </c:pt>
                <c:pt idx="17">
                  <c:v>7.0629538318767464</c:v>
                </c:pt>
                <c:pt idx="18">
                  <c:v>7.0676506001500794</c:v>
                </c:pt>
                <c:pt idx="19">
                  <c:v>7.0056212152173085</c:v>
                </c:pt>
              </c:numCache>
            </c:numRef>
          </c:xVal>
          <c:yVal>
            <c:numRef>
              <c:f>'Section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5.8786038578464002</c:v>
                </c:pt>
                <c:pt idx="17">
                  <c:v>6.9057487219514373</c:v>
                </c:pt>
                <c:pt idx="18">
                  <c:v>7.9328935860564744</c:v>
                </c:pt>
                <c:pt idx="19">
                  <c:v>8.9600384501615107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Sections!$A$43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xVal>
            <c:numRef>
              <c:f>'Section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1.1109664277450284</c:v>
                </c:pt>
                <c:pt idx="2">
                  <c:v>2.3978280483407017</c:v>
                </c:pt>
                <c:pt idx="3">
                  <c:v>3.126638937295982</c:v>
                </c:pt>
                <c:pt idx="4">
                  <c:v>3.6003742721758103</c:v>
                </c:pt>
                <c:pt idx="5">
                  <c:v>4.0709689406373499</c:v>
                </c:pt>
                <c:pt idx="6">
                  <c:v>4.5512158841397161</c:v>
                </c:pt>
                <c:pt idx="7">
                  <c:v>4.8568116340061893</c:v>
                </c:pt>
                <c:pt idx="8">
                  <c:v>5.2517921723609415</c:v>
                </c:pt>
                <c:pt idx="9">
                  <c:v>5.522096435965568</c:v>
                </c:pt>
                <c:pt idx="10">
                  <c:v>5.7369231358962072</c:v>
                </c:pt>
                <c:pt idx="11">
                  <c:v>5.922256505490636</c:v>
                </c:pt>
                <c:pt idx="12">
                  <c:v>6.0900449985542737</c:v>
                </c:pt>
                <c:pt idx="13">
                  <c:v>6.2465508094426534</c:v>
                </c:pt>
                <c:pt idx="14">
                  <c:v>6.3953728256965894</c:v>
                </c:pt>
                <c:pt idx="15">
                  <c:v>6.538726431309354</c:v>
                </c:pt>
                <c:pt idx="16">
                  <c:v>6.7827656650744181</c:v>
                </c:pt>
                <c:pt idx="17">
                  <c:v>6.9136492782057637</c:v>
                </c:pt>
                <c:pt idx="18">
                  <c:v>6.931377270703388</c:v>
                </c:pt>
                <c:pt idx="19">
                  <c:v>6.8359496425672939</c:v>
                </c:pt>
              </c:numCache>
            </c:numRef>
          </c:xVal>
          <c:yVal>
            <c:numRef>
              <c:f>'Section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5.8847451797176085</c:v>
                </c:pt>
                <c:pt idx="17">
                  <c:v>6.9180313656938521</c:v>
                </c:pt>
                <c:pt idx="18">
                  <c:v>7.9513175516700958</c:v>
                </c:pt>
                <c:pt idx="19">
                  <c:v>8.9846037376463403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Sections!$A$44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xVal>
            <c:numRef>
              <c:f>'Section Calcs'!$V$105:$AO$105</c:f>
              <c:numCache>
                <c:formatCode>0.00</c:formatCode>
                <c:ptCount val="20"/>
                <c:pt idx="0">
                  <c:v>0</c:v>
                </c:pt>
                <c:pt idx="1">
                  <c:v>1.6373124659651261</c:v>
                </c:pt>
                <c:pt idx="2">
                  <c:v>2.8421088674158774</c:v>
                </c:pt>
                <c:pt idx="3">
                  <c:v>3.3485601983035407</c:v>
                </c:pt>
                <c:pt idx="4">
                  <c:v>3.638625023748765</c:v>
                </c:pt>
                <c:pt idx="5">
                  <c:v>3.9108667157510117</c:v>
                </c:pt>
                <c:pt idx="6">
                  <c:v>4.1904661539225572</c:v>
                </c:pt>
                <c:pt idx="7">
                  <c:v>4.3828336468552376</c:v>
                </c:pt>
                <c:pt idx="8">
                  <c:v>4.6710126725317087</c:v>
                </c:pt>
                <c:pt idx="9">
                  <c:v>4.9076448438686526</c:v>
                </c:pt>
                <c:pt idx="10">
                  <c:v>5.1226448594909533</c:v>
                </c:pt>
                <c:pt idx="11">
                  <c:v>5.3265318356738272</c:v>
                </c:pt>
                <c:pt idx="12">
                  <c:v>5.5239559792605188</c:v>
                </c:pt>
                <c:pt idx="13">
                  <c:v>5.7172906023515528</c:v>
                </c:pt>
                <c:pt idx="14">
                  <c:v>5.9078736968502445</c:v>
                </c:pt>
                <c:pt idx="15">
                  <c:v>6.0965169722775912</c:v>
                </c:pt>
                <c:pt idx="16">
                  <c:v>6.4331605303982027</c:v>
                </c:pt>
                <c:pt idx="17">
                  <c:v>6.6282403633611731</c:v>
                </c:pt>
                <c:pt idx="18">
                  <c:v>6.6817564711665014</c:v>
                </c:pt>
                <c:pt idx="19">
                  <c:v>6.5937088538141868</c:v>
                </c:pt>
              </c:numCache>
            </c:numRef>
          </c:xVal>
          <c:yVal>
            <c:numRef>
              <c:f>'Section Calcs'!$V$102:$AO$102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5.9036065540950489</c:v>
                </c:pt>
                <c:pt idx="17">
                  <c:v>6.9557541144487338</c:v>
                </c:pt>
                <c:pt idx="18">
                  <c:v>8.0079016748024188</c:v>
                </c:pt>
                <c:pt idx="19">
                  <c:v>9.0600492351561037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Sections!$A$45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xVal>
            <c:numRef>
              <c:f>'Section Calcs'!$V$110:$AO$110</c:f>
              <c:numCache>
                <c:formatCode>0.00</c:formatCode>
                <c:ptCount val="20"/>
                <c:pt idx="0">
                  <c:v>0</c:v>
                </c:pt>
                <c:pt idx="1">
                  <c:v>1.8094162004452263</c:v>
                </c:pt>
                <c:pt idx="2">
                  <c:v>2.7097958714154724</c:v>
                </c:pt>
                <c:pt idx="3">
                  <c:v>3.0326389503162288</c:v>
                </c:pt>
                <c:pt idx="4">
                  <c:v>3.2139486543290143</c:v>
                </c:pt>
                <c:pt idx="5">
                  <c:v>3.3902200562433991</c:v>
                </c:pt>
                <c:pt idx="6">
                  <c:v>3.5888356840316447</c:v>
                </c:pt>
                <c:pt idx="7">
                  <c:v>3.742316135428148</c:v>
                </c:pt>
                <c:pt idx="8">
                  <c:v>4.0013775669795768</c:v>
                </c:pt>
                <c:pt idx="9">
                  <c:v>4.2355654425312448</c:v>
                </c:pt>
                <c:pt idx="10">
                  <c:v>4.4595262875995738</c:v>
                </c:pt>
                <c:pt idx="11">
                  <c:v>4.6782941059556737</c:v>
                </c:pt>
                <c:pt idx="12">
                  <c:v>4.8940647519763267</c:v>
                </c:pt>
                <c:pt idx="13">
                  <c:v>5.1079490067987185</c:v>
                </c:pt>
                <c:pt idx="14">
                  <c:v>5.3205691153013746</c:v>
                </c:pt>
                <c:pt idx="15">
                  <c:v>5.5323007610547359</c:v>
                </c:pt>
                <c:pt idx="16">
                  <c:v>5.9326694775794735</c:v>
                </c:pt>
                <c:pt idx="17">
                  <c:v>6.188356162667656</c:v>
                </c:pt>
                <c:pt idx="18">
                  <c:v>6.2993608163192825</c:v>
                </c:pt>
                <c:pt idx="19">
                  <c:v>6.2656834385343565</c:v>
                </c:pt>
              </c:numCache>
            </c:numRef>
          </c:xVal>
          <c:yVal>
            <c:numRef>
              <c:f>'Section Calcs'!$V$107:$AO$107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5.9364157075602337</c:v>
                </c:pt>
                <c:pt idx="17">
                  <c:v>7.0213724213791036</c:v>
                </c:pt>
                <c:pt idx="18">
                  <c:v>8.1063291351979743</c:v>
                </c:pt>
                <c:pt idx="19">
                  <c:v>9.1912858490168432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Sections!$A$46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'Section Calcs'!$V$115:$AO$115</c:f>
              <c:numCache>
                <c:formatCode>0.00</c:formatCode>
                <c:ptCount val="20"/>
                <c:pt idx="0">
                  <c:v>0</c:v>
                </c:pt>
                <c:pt idx="1">
                  <c:v>0.83878579968863121</c:v>
                </c:pt>
                <c:pt idx="2">
                  <c:v>1.6359094304008457</c:v>
                </c:pt>
                <c:pt idx="3">
                  <c:v>2.0334630532521771</c:v>
                </c:pt>
                <c:pt idx="4">
                  <c:v>2.2816992946646897</c:v>
                </c:pt>
                <c:pt idx="5">
                  <c:v>2.529869790935849</c:v>
                </c:pt>
                <c:pt idx="6">
                  <c:v>2.8007017449474758</c:v>
                </c:pt>
                <c:pt idx="7">
                  <c:v>2.9958093060451789</c:v>
                </c:pt>
                <c:pt idx="8">
                  <c:v>3.2983068553410346</c:v>
                </c:pt>
                <c:pt idx="9">
                  <c:v>3.5525164789089536</c:v>
                </c:pt>
                <c:pt idx="10">
                  <c:v>3.7859892947478739</c:v>
                </c:pt>
                <c:pt idx="11">
                  <c:v>4.0086662462326235</c:v>
                </c:pt>
                <c:pt idx="12">
                  <c:v>4.2250096636560812</c:v>
                </c:pt>
                <c:pt idx="13">
                  <c:v>4.4373204191772029</c:v>
                </c:pt>
                <c:pt idx="14">
                  <c:v>4.6469052729781559</c:v>
                </c:pt>
                <c:pt idx="15">
                  <c:v>4.8545614277492115</c:v>
                </c:pt>
                <c:pt idx="16">
                  <c:v>5.2775514468538027</c:v>
                </c:pt>
                <c:pt idx="17">
                  <c:v>5.5818044228133017</c:v>
                </c:pt>
                <c:pt idx="18">
                  <c:v>5.7673203556277057</c:v>
                </c:pt>
                <c:pt idx="19">
                  <c:v>5.8340992452970175</c:v>
                </c:pt>
              </c:numCache>
            </c:numRef>
          </c:xVal>
          <c:yVal>
            <c:numRef>
              <c:f>'Section Calcs'!$V$112:$AO$112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5.9826194095239069</c:v>
                </c:pt>
                <c:pt idx="17">
                  <c:v>7.1137798253064499</c:v>
                </c:pt>
                <c:pt idx="18">
                  <c:v>8.2449402410889938</c:v>
                </c:pt>
                <c:pt idx="19">
                  <c:v>9.3761006568715359</c:v>
                </c:pt>
              </c:numCache>
            </c:numRef>
          </c:yVal>
          <c:smooth val="1"/>
        </c:ser>
        <c:ser>
          <c:idx val="16"/>
          <c:order val="16"/>
          <c:tx>
            <c:strRef>
              <c:f>Sections!$A$47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'Section Calcs'!$V$120:$AO$120</c:f>
              <c:numCache>
                <c:formatCode>0.00</c:formatCode>
                <c:ptCount val="20"/>
                <c:pt idx="0">
                  <c:v>0</c:v>
                </c:pt>
                <c:pt idx="1">
                  <c:v>7.6299081939536662E-2</c:v>
                </c:pt>
                <c:pt idx="2">
                  <c:v>0.23166256354463399</c:v>
                </c:pt>
                <c:pt idx="3">
                  <c:v>0.38999319991863673</c:v>
                </c:pt>
                <c:pt idx="4">
                  <c:v>0.5504608204665512</c:v>
                </c:pt>
                <c:pt idx="5">
                  <c:v>0.79344802606158926</c:v>
                </c:pt>
                <c:pt idx="6">
                  <c:v>1.1984478142557631</c:v>
                </c:pt>
                <c:pt idx="7">
                  <c:v>1.5945826880047596</c:v>
                </c:pt>
                <c:pt idx="8">
                  <c:v>2.3261521245650885</c:v>
                </c:pt>
                <c:pt idx="9">
                  <c:v>2.9350130773052623</c:v>
                </c:pt>
                <c:pt idx="10">
                  <c:v>3.3921308906150656</c:v>
                </c:pt>
                <c:pt idx="11">
                  <c:v>3.6925795117113962</c:v>
                </c:pt>
                <c:pt idx="12">
                  <c:v>3.855541490638255</c:v>
                </c:pt>
                <c:pt idx="13">
                  <c:v>3.9243079802667524</c:v>
                </c:pt>
                <c:pt idx="14">
                  <c:v>3.966278736295076</c:v>
                </c:pt>
                <c:pt idx="15">
                  <c:v>4.0729621172485997</c:v>
                </c:pt>
                <c:pt idx="16">
                  <c:v>4.4714767675480669</c:v>
                </c:pt>
                <c:pt idx="17">
                  <c:v>4.8050159431673585</c:v>
                </c:pt>
                <c:pt idx="18">
                  <c:v>5.0735796441064753</c:v>
                </c:pt>
                <c:pt idx="19">
                  <c:v>5.2771678703654139</c:v>
                </c:pt>
              </c:numCache>
            </c:numRef>
          </c:xVal>
          <c:yVal>
            <c:numRef>
              <c:f>'Section Calcs'!$V$117:$AO$117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6.0424339968151557</c:v>
                </c:pt>
                <c:pt idx="17">
                  <c:v>7.2334089998889466</c:v>
                </c:pt>
                <c:pt idx="18">
                  <c:v>8.4243840029627375</c:v>
                </c:pt>
                <c:pt idx="19">
                  <c:v>9.6153590060365293</c:v>
                </c:pt>
              </c:numCache>
            </c:numRef>
          </c:yVal>
          <c:smooth val="1"/>
        </c:ser>
        <c:ser>
          <c:idx val="17"/>
          <c:order val="17"/>
          <c:tx>
            <c:strRef>
              <c:f>Sections!$A$48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'Section Calcs'!$V$125:$AO$125</c:f>
              <c:numCache>
                <c:formatCode>0.00</c:formatCode>
                <c:ptCount val="20"/>
                <c:pt idx="0">
                  <c:v>0</c:v>
                </c:pt>
                <c:pt idx="1">
                  <c:v>1.2059971625739336E-2</c:v>
                </c:pt>
                <c:pt idx="2">
                  <c:v>4.7140988725535356E-2</c:v>
                </c:pt>
                <c:pt idx="3">
                  <c:v>9.5666280181521957E-2</c:v>
                </c:pt>
                <c:pt idx="4">
                  <c:v>0.15627547164736225</c:v>
                </c:pt>
                <c:pt idx="5">
                  <c:v>0.26699510599819826</c:v>
                </c:pt>
                <c:pt idx="6">
                  <c:v>0.49411233402420351</c:v>
                </c:pt>
                <c:pt idx="7">
                  <c:v>0.75911768617041364</c:v>
                </c:pt>
                <c:pt idx="8">
                  <c:v>1.341060977150446</c:v>
                </c:pt>
                <c:pt idx="9">
                  <c:v>1.9091000609592967</c:v>
                </c:pt>
                <c:pt idx="10">
                  <c:v>2.3910918650051638</c:v>
                </c:pt>
                <c:pt idx="11">
                  <c:v>2.7464751620834469</c:v>
                </c:pt>
                <c:pt idx="12">
                  <c:v>2.9662705703767487</c:v>
                </c:pt>
                <c:pt idx="13">
                  <c:v>3.0730805534548709</c:v>
                </c:pt>
                <c:pt idx="14">
                  <c:v>3.1210894202747914</c:v>
                </c:pt>
                <c:pt idx="15">
                  <c:v>3.19606332518075</c:v>
                </c:pt>
                <c:pt idx="16">
                  <c:v>3.5261888520839832</c:v>
                </c:pt>
                <c:pt idx="17">
                  <c:v>3.8653697100895879</c:v>
                </c:pt>
                <c:pt idx="18">
                  <c:v>4.2136058991975638</c:v>
                </c:pt>
                <c:pt idx="19">
                  <c:v>4.5708974194079124</c:v>
                </c:pt>
              </c:numCache>
            </c:numRef>
          </c:xVal>
          <c:yVal>
            <c:numRef>
              <c:f>'Section Calcs'!$V$122:$AO$122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6.1157594930830559</c:v>
                </c:pt>
                <c:pt idx="17">
                  <c:v>7.3800599924247479</c:v>
                </c:pt>
                <c:pt idx="18">
                  <c:v>8.6443604917664398</c:v>
                </c:pt>
                <c:pt idx="19">
                  <c:v>9.9086609911081318</c:v>
                </c:pt>
              </c:numCache>
            </c:numRef>
          </c:yVal>
          <c:smooth val="1"/>
        </c:ser>
        <c:ser>
          <c:idx val="18"/>
          <c:order val="18"/>
          <c:tx>
            <c:strRef>
              <c:f>Sections!$A$49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'Section Calcs'!$V$130:$AO$130</c:f>
              <c:numCache>
                <c:formatCode>0.00</c:formatCode>
                <c:ptCount val="20"/>
                <c:pt idx="0">
                  <c:v>0</c:v>
                </c:pt>
                <c:pt idx="1">
                  <c:v>1.0380734603302451E-3</c:v>
                </c:pt>
                <c:pt idx="2">
                  <c:v>9.1182819464083516E-3</c:v>
                </c:pt>
                <c:pt idx="3">
                  <c:v>2.4708296996867874E-2</c:v>
                </c:pt>
                <c:pt idx="4">
                  <c:v>4.722854869524927E-2</c:v>
                </c:pt>
                <c:pt idx="5">
                  <c:v>9.2777950264968503E-2</c:v>
                </c:pt>
                <c:pt idx="6">
                  <c:v>0.19562695207683323</c:v>
                </c:pt>
                <c:pt idx="7">
                  <c:v>0.32535011215815635</c:v>
                </c:pt>
                <c:pt idx="8">
                  <c:v>0.6371822332977588</c:v>
                </c:pt>
                <c:pt idx="9">
                  <c:v>0.97856914055256372</c:v>
                </c:pt>
                <c:pt idx="10">
                  <c:v>1.310634740041946</c:v>
                </c:pt>
                <c:pt idx="11">
                  <c:v>1.6053320171358723</c:v>
                </c:pt>
                <c:pt idx="12">
                  <c:v>1.8454430364549019</c:v>
                </c:pt>
                <c:pt idx="13">
                  <c:v>2.0245789418701827</c:v>
                </c:pt>
                <c:pt idx="14">
                  <c:v>2.1471799565034404</c:v>
                </c:pt>
                <c:pt idx="15">
                  <c:v>2.2285153827270259</c:v>
                </c:pt>
                <c:pt idx="16">
                  <c:v>2.4628543779546099</c:v>
                </c:pt>
                <c:pt idx="17">
                  <c:v>2.7842925606295768</c:v>
                </c:pt>
                <c:pt idx="18">
                  <c:v>3.1928299307519277</c:v>
                </c:pt>
                <c:pt idx="19">
                  <c:v>3.6884664883216609</c:v>
                </c:pt>
              </c:numCache>
            </c:numRef>
          </c:xVal>
          <c:yVal>
            <c:numRef>
              <c:f>'Section Calcs'!$V$127:$AO$127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6.2027165508162501</c:v>
                </c:pt>
                <c:pt idx="17">
                  <c:v>7.5539741078911371</c:v>
                </c:pt>
                <c:pt idx="18">
                  <c:v>8.9052316649660241</c:v>
                </c:pt>
                <c:pt idx="19">
                  <c:v>10.25648922204091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Sections!$A$50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'Section Calcs'!$V$135:$AO$135</c:f>
              <c:numCache>
                <c:formatCode>0.00</c:formatCode>
                <c:ptCount val="20"/>
                <c:pt idx="0">
                  <c:v>0</c:v>
                </c:pt>
                <c:pt idx="1">
                  <c:v>1.5267445869010648E-4</c:v>
                </c:pt>
                <c:pt idx="2">
                  <c:v>1.3821705012613875E-3</c:v>
                </c:pt>
                <c:pt idx="3">
                  <c:v>3.8962320303126243E-3</c:v>
                </c:pt>
                <c:pt idx="4">
                  <c:v>7.7517001642435556E-3</c:v>
                </c:pt>
                <c:pt idx="5">
                  <c:v>1.6157498887777906E-2</c:v>
                </c:pt>
                <c:pt idx="6">
                  <c:v>3.7484378513937378E-2</c:v>
                </c:pt>
                <c:pt idx="7">
                  <c:v>6.8309499516827313E-2</c:v>
                </c:pt>
                <c:pt idx="8">
                  <c:v>0.15884523341741333</c:v>
                </c:pt>
                <c:pt idx="9">
                  <c:v>0.28586674278371083</c:v>
                </c:pt>
                <c:pt idx="10">
                  <c:v>0.44318888047380284</c:v>
                </c:pt>
                <c:pt idx="11">
                  <c:v>0.62033931000968223</c:v>
                </c:pt>
                <c:pt idx="12">
                  <c:v>0.80255850557725184</c:v>
                </c:pt>
                <c:pt idx="13">
                  <c:v>0.97079975202632318</c:v>
                </c:pt>
                <c:pt idx="14">
                  <c:v>1.1017291448706124</c:v>
                </c:pt>
                <c:pt idx="15">
                  <c:v>1.1677255902877577</c:v>
                </c:pt>
                <c:pt idx="16">
                  <c:v>1.3100043233101375</c:v>
                </c:pt>
                <c:pt idx="17">
                  <c:v>1.5977088423028389</c:v>
                </c:pt>
                <c:pt idx="18">
                  <c:v>2.030839147265862</c:v>
                </c:pt>
                <c:pt idx="19">
                  <c:v>2.6093952381992067</c:v>
                </c:pt>
              </c:numCache>
            </c:numRef>
          </c:xVal>
          <c:yVal>
            <c:numRef>
              <c:f>'Section Calcs'!$V$132:$AO$132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6.3029825550590042</c:v>
                </c:pt>
                <c:pt idx="17">
                  <c:v>7.7545061163766444</c:v>
                </c:pt>
                <c:pt idx="18">
                  <c:v>9.2060296776942856</c:v>
                </c:pt>
                <c:pt idx="19">
                  <c:v>10.657553239011925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Sections!$A$51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'Section Calcs'!$AK$140:$AO$140</c:f>
              <c:numCache>
                <c:formatCode>0.00</c:formatCode>
                <c:ptCount val="5"/>
                <c:pt idx="0">
                  <c:v>0</c:v>
                </c:pt>
                <c:pt idx="1">
                  <c:v>0.11278119606000885</c:v>
                </c:pt>
                <c:pt idx="2">
                  <c:v>0.36691156815107367</c:v>
                </c:pt>
                <c:pt idx="3">
                  <c:v>0.76239111627319445</c:v>
                </c:pt>
                <c:pt idx="4">
                  <c:v>1.2992198404263713</c:v>
                </c:pt>
              </c:numCache>
            </c:numRef>
          </c:xVal>
          <c:yVal>
            <c:numRef>
              <c:f>'Section Calcs'!$AK$137:$AO$137</c:f>
              <c:numCache>
                <c:formatCode>0.00</c:formatCode>
                <c:ptCount val="5"/>
                <c:pt idx="0">
                  <c:v>4.8514589937413639</c:v>
                </c:pt>
                <c:pt idx="1">
                  <c:v>6.4175142136774248</c:v>
                </c:pt>
                <c:pt idx="2">
                  <c:v>7.9835694336134848</c:v>
                </c:pt>
                <c:pt idx="3">
                  <c:v>9.5496246535495448</c:v>
                </c:pt>
                <c:pt idx="4">
                  <c:v>11.115679873485606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78016"/>
        <c:axId val="145490688"/>
      </c:scatterChart>
      <c:valAx>
        <c:axId val="145878016"/>
        <c:scaling>
          <c:orientation val="minMax"/>
        </c:scaling>
        <c:delete val="0"/>
        <c:axPos val="b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490688"/>
        <c:crosses val="autoZero"/>
        <c:crossBetween val="midCat"/>
        <c:majorUnit val="2"/>
      </c:valAx>
      <c:valAx>
        <c:axId val="145490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7801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273843166864419"/>
          <c:y val="4.723778380161496E-2"/>
          <c:w val="0.1084715780390465"/>
          <c:h val="0.82171469003533038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784684045334533E-2"/>
          <c:y val="4.6524826252036314E-2"/>
          <c:w val="0.84513443288922274"/>
          <c:h val="0.8173649306113505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Bulkheads!$C$31</c:f>
              <c:strCache>
                <c:ptCount val="1"/>
                <c:pt idx="0">
                  <c:v>19.5</c:v>
                </c:pt>
              </c:strCache>
            </c:strRef>
          </c:tx>
          <c:marker>
            <c:symbol val="none"/>
          </c:marker>
          <c:xVal>
            <c:numRef>
              <c:f>'BHD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-5.1869601057612506E-2</c:v>
                </c:pt>
                <c:pt idx="2">
                  <c:v>-0.1602426381302344</c:v>
                </c:pt>
                <c:pt idx="3">
                  <c:v>-0.27432278574400143</c:v>
                </c:pt>
                <c:pt idx="4">
                  <c:v>-0.39355712734513093</c:v>
                </c:pt>
                <c:pt idx="5">
                  <c:v>-0.58089892993613623</c:v>
                </c:pt>
                <c:pt idx="6">
                  <c:v>-0.91148557169473376</c:v>
                </c:pt>
                <c:pt idx="7">
                  <c:v>-1.2584062219541075</c:v>
                </c:pt>
                <c:pt idx="8">
                  <c:v>-1.9733754507923313</c:v>
                </c:pt>
                <c:pt idx="9">
                  <c:v>-2.6757221402449307</c:v>
                </c:pt>
                <c:pt idx="10">
                  <c:v>-3.3244237631617271</c:v>
                </c:pt>
                <c:pt idx="11">
                  <c:v>-3.8875197414482496</c:v>
                </c:pt>
                <c:pt idx="12">
                  <c:v>-4.3421114460657302</c:v>
                </c:pt>
                <c:pt idx="13">
                  <c:v>-4.6743621970311038</c:v>
                </c:pt>
                <c:pt idx="14">
                  <c:v>-4.8794972634169795</c:v>
                </c:pt>
                <c:pt idx="15">
                  <c:v>-4.9618038633517552</c:v>
                </c:pt>
                <c:pt idx="16">
                  <c:v>-4.8525737324623375</c:v>
                </c:pt>
                <c:pt idx="17">
                  <c:v>-4.7677251633121109</c:v>
                </c:pt>
                <c:pt idx="18">
                  <c:v>-4.7072581559010755</c:v>
                </c:pt>
                <c:pt idx="19">
                  <c:v>-4.6711727102292304</c:v>
                </c:pt>
              </c:numCache>
            </c:numRef>
          </c:xVal>
          <c:yVal>
            <c:numRef>
              <c:f>'BHD Calcs'!$V$26:$AO$26</c:f>
              <c:numCache>
                <c:formatCode>0.00</c:formatCode>
                <c:ptCount val="20"/>
                <c:pt idx="0">
                  <c:v>3.6202599568581668</c:v>
                </c:pt>
                <c:pt idx="1">
                  <c:v>3.6325719472269986</c:v>
                </c:pt>
                <c:pt idx="2">
                  <c:v>3.6571959279646626</c:v>
                </c:pt>
                <c:pt idx="3">
                  <c:v>3.6818199087023267</c:v>
                </c:pt>
                <c:pt idx="4">
                  <c:v>3.7064438894399907</c:v>
                </c:pt>
                <c:pt idx="5">
                  <c:v>3.7433798605464865</c:v>
                </c:pt>
                <c:pt idx="6">
                  <c:v>3.8049398123906464</c:v>
                </c:pt>
                <c:pt idx="7">
                  <c:v>3.8664997642348062</c:v>
                </c:pt>
                <c:pt idx="8">
                  <c:v>3.9896196679231259</c:v>
                </c:pt>
                <c:pt idx="9">
                  <c:v>4.1127395716114457</c:v>
                </c:pt>
                <c:pt idx="10">
                  <c:v>4.2358594752997654</c:v>
                </c:pt>
                <c:pt idx="11">
                  <c:v>4.3589793789880851</c:v>
                </c:pt>
                <c:pt idx="12">
                  <c:v>4.4820992826764048</c:v>
                </c:pt>
                <c:pt idx="13">
                  <c:v>4.6052191863647245</c:v>
                </c:pt>
                <c:pt idx="14">
                  <c:v>4.7283390900530442</c:v>
                </c:pt>
                <c:pt idx="15">
                  <c:v>4.8514589937413639</c:v>
                </c:pt>
                <c:pt idx="16">
                  <c:v>5.9958398532100201</c:v>
                </c:pt>
                <c:pt idx="17">
                  <c:v>7.1402207126786763</c:v>
                </c:pt>
                <c:pt idx="18">
                  <c:v>8.2846015721473325</c:v>
                </c:pt>
                <c:pt idx="19">
                  <c:v>9.4289824316159887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Bulkheads!$C$32</c:f>
              <c:strCache>
                <c:ptCount val="1"/>
                <c:pt idx="0">
                  <c:v>18.0</c:v>
                </c:pt>
              </c:strCache>
            </c:strRef>
          </c:tx>
          <c:marker>
            <c:symbol val="none"/>
          </c:marker>
          <c:xVal>
            <c:numRef>
              <c:f>'BHD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-7.8345355087208815E-2</c:v>
                </c:pt>
                <c:pt idx="2">
                  <c:v>-0.23503422137714222</c:v>
                </c:pt>
                <c:pt idx="3">
                  <c:v>-0.39169177391573684</c:v>
                </c:pt>
                <c:pt idx="4">
                  <c:v>-0.54827872614841877</c:v>
                </c:pt>
                <c:pt idx="5">
                  <c:v>-0.78292773258157444</c:v>
                </c:pt>
                <c:pt idx="6">
                  <c:v>-1.1729483902028479</c:v>
                </c:pt>
                <c:pt idx="7">
                  <c:v>-1.560786213299973</c:v>
                </c:pt>
                <c:pt idx="8">
                  <c:v>-2.3250029835788277</c:v>
                </c:pt>
                <c:pt idx="9">
                  <c:v>-3.0636768218830266</c:v>
                </c:pt>
                <c:pt idx="10">
                  <c:v>-3.7615777437187154</c:v>
                </c:pt>
                <c:pt idx="11">
                  <c:v>-4.4001470016332949</c:v>
                </c:pt>
                <c:pt idx="12">
                  <c:v>-4.9574970852154294</c:v>
                </c:pt>
                <c:pt idx="13">
                  <c:v>-5.4084117210950389</c:v>
                </c:pt>
                <c:pt idx="14">
                  <c:v>-5.7243458729432692</c:v>
                </c:pt>
                <c:pt idx="15">
                  <c:v>-5.8734257414726176</c:v>
                </c:pt>
                <c:pt idx="16">
                  <c:v>-5.6240872088950109</c:v>
                </c:pt>
                <c:pt idx="17">
                  <c:v>-5.4749474206126987</c:v>
                </c:pt>
                <c:pt idx="18">
                  <c:v>-5.4260063766256801</c:v>
                </c:pt>
                <c:pt idx="19">
                  <c:v>-5.4772640769339569</c:v>
                </c:pt>
              </c:numCache>
            </c:numRef>
          </c:xVal>
          <c:yVal>
            <c:numRef>
              <c:f>'BHD Calcs'!$V$32:$AO$32</c:f>
              <c:numCache>
                <c:formatCode>0.00</c:formatCode>
                <c:ptCount val="20"/>
                <c:pt idx="0">
                  <c:v>2.5220602308173627</c:v>
                </c:pt>
                <c:pt idx="1">
                  <c:v>2.5453542184466027</c:v>
                </c:pt>
                <c:pt idx="2">
                  <c:v>2.5919421937050826</c:v>
                </c:pt>
                <c:pt idx="3">
                  <c:v>2.638530168963563</c:v>
                </c:pt>
                <c:pt idx="4">
                  <c:v>2.6851181442220429</c:v>
                </c:pt>
                <c:pt idx="5">
                  <c:v>2.7550001071097627</c:v>
                </c:pt>
                <c:pt idx="6">
                  <c:v>2.8714700452559629</c:v>
                </c:pt>
                <c:pt idx="7">
                  <c:v>2.9879399834021632</c:v>
                </c:pt>
                <c:pt idx="8">
                  <c:v>3.2208798596945631</c:v>
                </c:pt>
                <c:pt idx="9">
                  <c:v>3.4538197359869631</c:v>
                </c:pt>
                <c:pt idx="10">
                  <c:v>3.6867596122793636</c:v>
                </c:pt>
                <c:pt idx="11">
                  <c:v>3.9196994885717631</c:v>
                </c:pt>
                <c:pt idx="12">
                  <c:v>4.1526393648641635</c:v>
                </c:pt>
                <c:pt idx="13">
                  <c:v>4.3855792411565639</c:v>
                </c:pt>
                <c:pt idx="14">
                  <c:v>4.6185191174489635</c:v>
                </c:pt>
                <c:pt idx="15">
                  <c:v>4.8514589937413639</c:v>
                </c:pt>
                <c:pt idx="16">
                  <c:v>5.977375915047098</c:v>
                </c:pt>
                <c:pt idx="17">
                  <c:v>7.1032928363528329</c:v>
                </c:pt>
                <c:pt idx="18">
                  <c:v>8.2292097576585679</c:v>
                </c:pt>
                <c:pt idx="19">
                  <c:v>9.3551266789643019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Bulkheads!$C$33</c:f>
              <c:strCache>
                <c:ptCount val="1"/>
                <c:pt idx="0">
                  <c:v>16.5</c:v>
                </c:pt>
              </c:strCache>
            </c:strRef>
          </c:tx>
          <c:marker>
            <c:symbol val="none"/>
          </c:marker>
          <c:xVal>
            <c:numRef>
              <c:f>'BHD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-9.7699833641315126E-2</c:v>
                </c:pt>
                <c:pt idx="2">
                  <c:v>-0.29546816797473263</c:v>
                </c:pt>
                <c:pt idx="3">
                  <c:v>-0.49583268827753818</c:v>
                </c:pt>
                <c:pt idx="4">
                  <c:v>-0.69814023669627989</c:v>
                </c:pt>
                <c:pt idx="5">
                  <c:v>-1.0038758218563679</c:v>
                </c:pt>
                <c:pt idx="6">
                  <c:v>-1.5145890050432187</c:v>
                </c:pt>
                <c:pt idx="7">
                  <c:v>-2.0193821218118542</c:v>
                </c:pt>
                <c:pt idx="8">
                  <c:v>-2.9815990903246772</c:v>
                </c:pt>
                <c:pt idx="9">
                  <c:v>-3.8408113925255605</c:v>
                </c:pt>
                <c:pt idx="10">
                  <c:v>-4.5625081682177253</c:v>
                </c:pt>
                <c:pt idx="11">
                  <c:v>-5.1273830318768985</c:v>
                </c:pt>
                <c:pt idx="12">
                  <c:v>-5.5313340726513101</c:v>
                </c:pt>
                <c:pt idx="13">
                  <c:v>-5.7854638543616934</c:v>
                </c:pt>
                <c:pt idx="14">
                  <c:v>-5.9160794155012502</c:v>
                </c:pt>
                <c:pt idx="15">
                  <c:v>-5.9646922692357913</c:v>
                </c:pt>
                <c:pt idx="16">
                  <c:v>-5.9326442696379349</c:v>
                </c:pt>
                <c:pt idx="17">
                  <c:v>-5.954719343238672</c:v>
                </c:pt>
                <c:pt idx="18">
                  <c:v>-6.0309174900380027</c:v>
                </c:pt>
                <c:pt idx="19">
                  <c:v>-6.1612387100359287</c:v>
                </c:pt>
              </c:numCache>
            </c:numRef>
          </c:xVal>
          <c:yVal>
            <c:numRef>
              <c:f>'BHD Calcs'!$V$38:$AO$38</c:f>
              <c:numCache>
                <c:formatCode>0.00</c:formatCode>
                <c:ptCount val="20"/>
                <c:pt idx="0">
                  <c:v>1.4918120717362151</c:v>
                </c:pt>
                <c:pt idx="1">
                  <c:v>1.5254085409562665</c:v>
                </c:pt>
                <c:pt idx="2">
                  <c:v>1.5926014793963696</c:v>
                </c:pt>
                <c:pt idx="3">
                  <c:v>1.6597944178364725</c:v>
                </c:pt>
                <c:pt idx="4">
                  <c:v>1.7269873562765756</c:v>
                </c:pt>
                <c:pt idx="5">
                  <c:v>1.8277767639367299</c:v>
                </c:pt>
                <c:pt idx="6">
                  <c:v>1.9957591100369874</c:v>
                </c:pt>
                <c:pt idx="7">
                  <c:v>2.1637414561372448</c:v>
                </c:pt>
                <c:pt idx="8">
                  <c:v>2.4997061483377596</c:v>
                </c:pt>
                <c:pt idx="9">
                  <c:v>2.8356708405382749</c:v>
                </c:pt>
                <c:pt idx="10">
                  <c:v>3.1716355327387893</c:v>
                </c:pt>
                <c:pt idx="11">
                  <c:v>3.5076002249393041</c:v>
                </c:pt>
                <c:pt idx="12">
                  <c:v>3.843564917139819</c:v>
                </c:pt>
                <c:pt idx="13">
                  <c:v>4.1795296093403342</c:v>
                </c:pt>
                <c:pt idx="14">
                  <c:v>4.5154943015408495</c:v>
                </c:pt>
                <c:pt idx="15">
                  <c:v>4.8514589937413639</c:v>
                </c:pt>
                <c:pt idx="16">
                  <c:v>5.9589115966735609</c:v>
                </c:pt>
                <c:pt idx="17">
                  <c:v>7.0663641996057569</c:v>
                </c:pt>
                <c:pt idx="18">
                  <c:v>8.173816802537953</c:v>
                </c:pt>
                <c:pt idx="19">
                  <c:v>9.2812694054701499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Bulkheads!$C$34</c:f>
              <c:strCache>
                <c:ptCount val="1"/>
                <c:pt idx="0">
                  <c:v>15.0</c:v>
                </c:pt>
              </c:strCache>
            </c:strRef>
          </c:tx>
          <c:marker>
            <c:symbol val="none"/>
          </c:marker>
          <c:xVal>
            <c:numRef>
              <c:f>'BHD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-0.1915286364644106</c:v>
                </c:pt>
                <c:pt idx="2">
                  <c:v>-0.55770204789585986</c:v>
                </c:pt>
                <c:pt idx="3">
                  <c:v>-0.90264357101003534</c:v>
                </c:pt>
                <c:pt idx="4">
                  <c:v>-1.2277695810577767</c:v>
                </c:pt>
                <c:pt idx="5">
                  <c:v>-1.6811028047086121</c:v>
                </c:pt>
                <c:pt idx="6">
                  <c:v>-2.3543968041651873</c:v>
                </c:pt>
                <c:pt idx="7">
                  <c:v>-2.9378495545620309</c:v>
                </c:pt>
                <c:pt idx="8">
                  <c:v>-3.8829592111154567</c:v>
                </c:pt>
                <c:pt idx="9">
                  <c:v>-4.5924768080037186</c:v>
                </c:pt>
                <c:pt idx="10">
                  <c:v>-5.1195666784274243</c:v>
                </c:pt>
                <c:pt idx="11">
                  <c:v>-5.5025159578102141</c:v>
                </c:pt>
                <c:pt idx="12">
                  <c:v>-5.7695982634594243</c:v>
                </c:pt>
                <c:pt idx="13">
                  <c:v>-5.9421464231520726</c:v>
                </c:pt>
                <c:pt idx="14">
                  <c:v>-6.0365591588293714</c:v>
                </c:pt>
                <c:pt idx="15">
                  <c:v>-6.0656496318770348</c:v>
                </c:pt>
                <c:pt idx="16">
                  <c:v>-6.190742989118684</c:v>
                </c:pt>
                <c:pt idx="17">
                  <c:v>-6.3326985013917305</c:v>
                </c:pt>
                <c:pt idx="18">
                  <c:v>-6.4915161686961786</c:v>
                </c:pt>
                <c:pt idx="19">
                  <c:v>-6.6671959910320213</c:v>
                </c:pt>
              </c:numCache>
            </c:numRef>
          </c:xVal>
          <c:yVal>
            <c:numRef>
              <c:f>'BHD Calcs'!$V$44:$AO$44</c:f>
              <c:numCache>
                <c:formatCode>0.00</c:formatCode>
                <c:ptCount val="20"/>
                <c:pt idx="0">
                  <c:v>0.68797988774569685</c:v>
                </c:pt>
                <c:pt idx="1">
                  <c:v>0.72961467880565356</c:v>
                </c:pt>
                <c:pt idx="2">
                  <c:v>0.81288426092556687</c:v>
                </c:pt>
                <c:pt idx="3">
                  <c:v>0.89615384304548018</c:v>
                </c:pt>
                <c:pt idx="4">
                  <c:v>0.97942342516539349</c:v>
                </c:pt>
                <c:pt idx="5">
                  <c:v>1.1043277983452635</c:v>
                </c:pt>
                <c:pt idx="6">
                  <c:v>1.312501753645047</c:v>
                </c:pt>
                <c:pt idx="7">
                  <c:v>1.5206757089448302</c:v>
                </c:pt>
                <c:pt idx="8">
                  <c:v>1.9370236195443968</c:v>
                </c:pt>
                <c:pt idx="9">
                  <c:v>2.3533715301439635</c:v>
                </c:pt>
                <c:pt idx="10">
                  <c:v>2.7697194407435304</c:v>
                </c:pt>
                <c:pt idx="11">
                  <c:v>3.1860673513430968</c:v>
                </c:pt>
                <c:pt idx="12">
                  <c:v>3.6024152619426637</c:v>
                </c:pt>
                <c:pt idx="13">
                  <c:v>4.018763172542231</c:v>
                </c:pt>
                <c:pt idx="14">
                  <c:v>4.4351110831417975</c:v>
                </c:pt>
                <c:pt idx="15">
                  <c:v>4.8514589937413639</c:v>
                </c:pt>
                <c:pt idx="16">
                  <c:v>5.9404473434502805</c:v>
                </c:pt>
                <c:pt idx="17">
                  <c:v>7.0294356931591961</c:v>
                </c:pt>
                <c:pt idx="18">
                  <c:v>8.1184240428681118</c:v>
                </c:pt>
                <c:pt idx="19">
                  <c:v>9.2074123925770284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Bulkheads!$C$35</c:f>
              <c:strCache>
                <c:ptCount val="1"/>
                <c:pt idx="0">
                  <c:v>13.5</c:v>
                </c:pt>
              </c:strCache>
            </c:strRef>
          </c:tx>
          <c:marker>
            <c:symbol val="none"/>
          </c:marker>
          <c:xVal>
            <c:numRef>
              <c:f>'BHD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-0.27763155900363162</c:v>
                </c:pt>
                <c:pt idx="2">
                  <c:v>-0.79106606326132034</c:v>
                </c:pt>
                <c:pt idx="3">
                  <c:v>-1.2548531103409242</c:v>
                </c:pt>
                <c:pt idx="4">
                  <c:v>-1.6752593443815147</c:v>
                </c:pt>
                <c:pt idx="5">
                  <c:v>-2.2357965851269967</c:v>
                </c:pt>
                <c:pt idx="6">
                  <c:v>-3.0168134392170129</c:v>
                </c:pt>
                <c:pt idx="7">
                  <c:v>-3.6474436210950887</c:v>
                </c:pt>
                <c:pt idx="8">
                  <c:v>-4.5854691703326997</c:v>
                </c:pt>
                <c:pt idx="9">
                  <c:v>-5.2263014918675337</c:v>
                </c:pt>
                <c:pt idx="10">
                  <c:v>-5.6684196242518796</c:v>
                </c:pt>
                <c:pt idx="11">
                  <c:v>-5.9711206027002159</c:v>
                </c:pt>
                <c:pt idx="12">
                  <c:v>-6.1722432632524518</c:v>
                </c:pt>
                <c:pt idx="13">
                  <c:v>-6.2970694766316626</c:v>
                </c:pt>
                <c:pt idx="14">
                  <c:v>-6.3631339571739902</c:v>
                </c:pt>
                <c:pt idx="15">
                  <c:v>-6.3829805719416335</c:v>
                </c:pt>
                <c:pt idx="16">
                  <c:v>-6.5131890329954425</c:v>
                </c:pt>
                <c:pt idx="17">
                  <c:v>-6.6573506173904367</c:v>
                </c:pt>
                <c:pt idx="18">
                  <c:v>-6.8154653251266168</c:v>
                </c:pt>
                <c:pt idx="19">
                  <c:v>-6.9875331562039822</c:v>
                </c:pt>
              </c:numCache>
            </c:numRef>
          </c:xVal>
          <c:yVal>
            <c:numRef>
              <c:f>'BHD Calcs'!$V$50:$AO$50</c:f>
              <c:numCache>
                <c:formatCode>0.00</c:formatCode>
                <c:ptCount val="20"/>
                <c:pt idx="0">
                  <c:v>0.19295418659146524</c:v>
                </c:pt>
                <c:pt idx="1">
                  <c:v>0.23953923466296423</c:v>
                </c:pt>
                <c:pt idx="2">
                  <c:v>0.33270933080596221</c:v>
                </c:pt>
                <c:pt idx="3">
                  <c:v>0.42587942694896019</c:v>
                </c:pt>
                <c:pt idx="4">
                  <c:v>0.51904952309195818</c:v>
                </c:pt>
                <c:pt idx="5">
                  <c:v>0.65880466730645515</c:v>
                </c:pt>
                <c:pt idx="6">
                  <c:v>0.89172990766394999</c:v>
                </c:pt>
                <c:pt idx="7">
                  <c:v>1.1246551480214451</c:v>
                </c:pt>
                <c:pt idx="8">
                  <c:v>1.5905056287364348</c:v>
                </c:pt>
                <c:pt idx="9">
                  <c:v>2.0563561094514249</c:v>
                </c:pt>
                <c:pt idx="10">
                  <c:v>2.5222065901664146</c:v>
                </c:pt>
                <c:pt idx="11">
                  <c:v>2.9880570708814043</c:v>
                </c:pt>
                <c:pt idx="12">
                  <c:v>3.453907551596394</c:v>
                </c:pt>
                <c:pt idx="13">
                  <c:v>3.9197580323113845</c:v>
                </c:pt>
                <c:pt idx="14">
                  <c:v>4.3856085130263738</c:v>
                </c:pt>
                <c:pt idx="15">
                  <c:v>4.8514589937413639</c:v>
                </c:pt>
                <c:pt idx="16">
                  <c:v>5.9220016765562438</c:v>
                </c:pt>
                <c:pt idx="17">
                  <c:v>6.9925443593711227</c:v>
                </c:pt>
                <c:pt idx="18">
                  <c:v>8.0630870421860017</c:v>
                </c:pt>
                <c:pt idx="19">
                  <c:v>9.1336297250008815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Bulkheads!$C$36</c:f>
              <c:strCache>
                <c:ptCount val="1"/>
                <c:pt idx="0">
                  <c:v>12.0</c:v>
                </c:pt>
              </c:strCache>
            </c:strRef>
          </c:tx>
          <c:marker>
            <c:symbol val="none"/>
          </c:marker>
          <c:xVal>
            <c:numRef>
              <c:f>'BHD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-0.36414360352084924</c:v>
                </c:pt>
                <c:pt idx="2">
                  <c:v>-1.0185363317334073</c:v>
                </c:pt>
                <c:pt idx="3">
                  <c:v>-1.5892773076341551</c:v>
                </c:pt>
                <c:pt idx="4">
                  <c:v>-2.0906579502282376</c:v>
                </c:pt>
                <c:pt idx="5">
                  <c:v>-2.736559749346954</c:v>
                </c:pt>
                <c:pt idx="6">
                  <c:v>-3.5956035248487384</c:v>
                </c:pt>
                <c:pt idx="7">
                  <c:v>-4.256259130932909</c:v>
                </c:pt>
                <c:pt idx="8">
                  <c:v>-5.1872122565695378</c:v>
                </c:pt>
                <c:pt idx="9">
                  <c:v>-5.7887036602429003</c:v>
                </c:pt>
                <c:pt idx="10">
                  <c:v>-6.1872552076379828</c:v>
                </c:pt>
                <c:pt idx="11">
                  <c:v>-6.45195695338088</c:v>
                </c:pt>
                <c:pt idx="12">
                  <c:v>-6.6237333354252605</c:v>
                </c:pt>
                <c:pt idx="13">
                  <c:v>-6.7283683747382632</c:v>
                </c:pt>
                <c:pt idx="14">
                  <c:v>-6.7829146043356774</c:v>
                </c:pt>
                <c:pt idx="15">
                  <c:v>-6.7991006198618154</c:v>
                </c:pt>
                <c:pt idx="16">
                  <c:v>-6.8488951991291334</c:v>
                </c:pt>
                <c:pt idx="17">
                  <c:v>-6.9220601408196787</c:v>
                </c:pt>
                <c:pt idx="18">
                  <c:v>-7.0185954449334487</c:v>
                </c:pt>
                <c:pt idx="19">
                  <c:v>-7.138501111470446</c:v>
                </c:pt>
              </c:numCache>
            </c:numRef>
          </c:xVal>
          <c:yVal>
            <c:numRef>
              <c:f>'BHD Calcs'!$V$56:$AO$56</c:f>
              <c:numCache>
                <c:formatCode>0.00</c:formatCode>
                <c:ptCount val="20"/>
                <c:pt idx="0">
                  <c:v>1.1197446890085061E-2</c:v>
                </c:pt>
                <c:pt idx="1">
                  <c:v>5.9600062358597848E-2</c:v>
                </c:pt>
                <c:pt idx="2">
                  <c:v>0.15640529329562342</c:v>
                </c:pt>
                <c:pt idx="3">
                  <c:v>0.253210524232649</c:v>
                </c:pt>
                <c:pt idx="4">
                  <c:v>0.35001575516967459</c:v>
                </c:pt>
                <c:pt idx="5">
                  <c:v>0.49522360157521295</c:v>
                </c:pt>
                <c:pt idx="6">
                  <c:v>0.73723667891777689</c:v>
                </c:pt>
                <c:pt idx="7">
                  <c:v>0.97924975626034083</c:v>
                </c:pt>
                <c:pt idx="8">
                  <c:v>1.4632759109454687</c:v>
                </c:pt>
                <c:pt idx="9">
                  <c:v>1.9473020656305966</c:v>
                </c:pt>
                <c:pt idx="10">
                  <c:v>2.4313282203157245</c:v>
                </c:pt>
                <c:pt idx="11">
                  <c:v>2.9153543750008524</c:v>
                </c:pt>
                <c:pt idx="12">
                  <c:v>3.3993805296859803</c:v>
                </c:pt>
                <c:pt idx="13">
                  <c:v>3.8834066843711081</c:v>
                </c:pt>
                <c:pt idx="14">
                  <c:v>4.367432839056236</c:v>
                </c:pt>
                <c:pt idx="15">
                  <c:v>4.8514589937413639</c:v>
                </c:pt>
                <c:pt idx="16">
                  <c:v>5.9035327691977448</c:v>
                </c:pt>
                <c:pt idx="17">
                  <c:v>6.9556065446541258</c:v>
                </c:pt>
                <c:pt idx="18">
                  <c:v>8.0076803201105058</c:v>
                </c:pt>
                <c:pt idx="19">
                  <c:v>9.0597540955668876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Bulkheads!$C$37</c:f>
              <c:strCache>
                <c:ptCount val="1"/>
                <c:pt idx="0">
                  <c:v>10.5</c:v>
                </c:pt>
              </c:strCache>
            </c:strRef>
          </c:tx>
          <c:marker>
            <c:symbol val="none"/>
          </c:marker>
          <c:xVal>
            <c:numRef>
              <c:f>'BHD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-0.43286943287812751</c:v>
                </c:pt>
                <c:pt idx="2">
                  <c:v>-1.1933500953415674</c:v>
                </c:pt>
                <c:pt idx="3">
                  <c:v>-1.838956726210156</c:v>
                </c:pt>
                <c:pt idx="4">
                  <c:v>-2.3930134981180844</c:v>
                </c:pt>
                <c:pt idx="5">
                  <c:v>-3.089357212230849</c:v>
                </c:pt>
                <c:pt idx="6">
                  <c:v>-3.9863064788658256</c:v>
                </c:pt>
                <c:pt idx="7">
                  <c:v>-4.6544035568327766</c:v>
                </c:pt>
                <c:pt idx="8">
                  <c:v>-5.5653344775325726</c:v>
                </c:pt>
                <c:pt idx="9">
                  <c:v>-6.1358711967651116</c:v>
                </c:pt>
                <c:pt idx="10">
                  <c:v>-6.5067681762529928</c:v>
                </c:pt>
                <c:pt idx="11">
                  <c:v>-6.7505771528986092</c:v>
                </c:pt>
                <c:pt idx="12">
                  <c:v>-6.9084933054125202</c:v>
                </c:pt>
                <c:pt idx="13">
                  <c:v>-7.0056435834288413</c:v>
                </c:pt>
                <c:pt idx="14">
                  <c:v>-7.0582249296053634</c:v>
                </c:pt>
                <c:pt idx="15">
                  <c:v>-7.0771476743455066</c:v>
                </c:pt>
                <c:pt idx="16">
                  <c:v>-7.0719295304711665</c:v>
                </c:pt>
                <c:pt idx="17">
                  <c:v>-7.0808076901947841</c:v>
                </c:pt>
                <c:pt idx="18">
                  <c:v>-7.1037821535163603</c:v>
                </c:pt>
                <c:pt idx="19">
                  <c:v>-7.1408529204358926</c:v>
                </c:pt>
              </c:numCache>
            </c:numRef>
          </c:xVal>
          <c:yVal>
            <c:numRef>
              <c:f>'BHD Calcs'!$V$62:$AO$62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5.8841751840859828</c:v>
                </c:pt>
                <c:pt idx="17">
                  <c:v>6.9168913744306009</c:v>
                </c:pt>
                <c:pt idx="18">
                  <c:v>7.9496075647752189</c:v>
                </c:pt>
                <c:pt idx="19">
                  <c:v>8.9823237551198378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Bulkheads!$C$38</c:f>
              <c:strCache>
                <c:ptCount val="1"/>
                <c:pt idx="0">
                  <c:v>9.0</c:v>
                </c:pt>
              </c:strCache>
            </c:strRef>
          </c:tx>
          <c:marker>
            <c:symbol val="none"/>
          </c:marker>
          <c:xVal>
            <c:numRef>
              <c:f>'BHD Calcs'!$V$71:$AO$71</c:f>
              <c:numCache>
                <c:formatCode>0.00</c:formatCode>
                <c:ptCount val="20"/>
                <c:pt idx="0">
                  <c:v>0</c:v>
                </c:pt>
                <c:pt idx="1">
                  <c:v>0.57415026197754249</c:v>
                </c:pt>
                <c:pt idx="2">
                  <c:v>1.5026329579648061</c:v>
                </c:pt>
                <c:pt idx="3">
                  <c:v>2.221011108752263</c:v>
                </c:pt>
                <c:pt idx="4">
                  <c:v>2.7934092341320205</c:v>
                </c:pt>
                <c:pt idx="5">
                  <c:v>3.4628511557170665</c:v>
                </c:pt>
                <c:pt idx="6">
                  <c:v>4.2565421697465462</c:v>
                </c:pt>
                <c:pt idx="7">
                  <c:v>4.8079148493922172</c:v>
                </c:pt>
                <c:pt idx="8">
                  <c:v>5.5245261888888155</c:v>
                </c:pt>
                <c:pt idx="9">
                  <c:v>5.9707161280010839</c:v>
                </c:pt>
                <c:pt idx="10">
                  <c:v>6.2759574523566721</c:v>
                </c:pt>
                <c:pt idx="11">
                  <c:v>6.498446055300934</c:v>
                </c:pt>
                <c:pt idx="12">
                  <c:v>6.6682159328848023</c:v>
                </c:pt>
                <c:pt idx="13">
                  <c:v>6.8023357009219234</c:v>
                </c:pt>
                <c:pt idx="14">
                  <c:v>6.911223371903354</c:v>
                </c:pt>
                <c:pt idx="15">
                  <c:v>7.0015980056650289</c:v>
                </c:pt>
                <c:pt idx="16">
                  <c:v>7.0471119741297823</c:v>
                </c:pt>
                <c:pt idx="17">
                  <c:v>7.0629538318767464</c:v>
                </c:pt>
                <c:pt idx="18">
                  <c:v>7.0491235789059239</c:v>
                </c:pt>
                <c:pt idx="19">
                  <c:v>7.0056212152173076</c:v>
                </c:pt>
              </c:numCache>
            </c:numRef>
          </c:xVal>
          <c:yVal>
            <c:numRef>
              <c:f>'BHD Calcs'!$V$68:$AO$68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5.8786038578464002</c:v>
                </c:pt>
                <c:pt idx="17">
                  <c:v>6.9057487219514373</c:v>
                </c:pt>
                <c:pt idx="18">
                  <c:v>7.9328935860564744</c:v>
                </c:pt>
                <c:pt idx="19">
                  <c:v>8.9600384501615107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Bulkheads!$C$39</c:f>
              <c:strCache>
                <c:ptCount val="1"/>
                <c:pt idx="0">
                  <c:v>7.5</c:v>
                </c:pt>
              </c:strCache>
            </c:strRef>
          </c:tx>
          <c:marker>
            <c:symbol val="none"/>
          </c:marker>
          <c:xVal>
            <c:numRef>
              <c:f>'BHD Calcs'!$V$77:$AO$77</c:f>
              <c:numCache>
                <c:formatCode>0.00</c:formatCode>
                <c:ptCount val="20"/>
                <c:pt idx="0">
                  <c:v>0</c:v>
                </c:pt>
                <c:pt idx="1">
                  <c:v>0.99565484585324215</c:v>
                </c:pt>
                <c:pt idx="2">
                  <c:v>2.1788634158330384</c:v>
                </c:pt>
                <c:pt idx="3">
                  <c:v>2.865052933178367</c:v>
                </c:pt>
                <c:pt idx="4">
                  <c:v>3.3185640231143503</c:v>
                </c:pt>
                <c:pt idx="5">
                  <c:v>3.7763975112075423</c:v>
                </c:pt>
                <c:pt idx="6">
                  <c:v>4.253930053921124</c:v>
                </c:pt>
                <c:pt idx="7">
                  <c:v>4.5656416488224743</c:v>
                </c:pt>
                <c:pt idx="8">
                  <c:v>4.9818257505240009</c:v>
                </c:pt>
                <c:pt idx="9">
                  <c:v>5.2776929161394017</c:v>
                </c:pt>
                <c:pt idx="10">
                  <c:v>5.5197394522120531</c:v>
                </c:pt>
                <c:pt idx="11">
                  <c:v>5.7330833648519661</c:v>
                </c:pt>
                <c:pt idx="12">
                  <c:v>5.929316782006822</c:v>
                </c:pt>
                <c:pt idx="13">
                  <c:v>6.1145301967105636</c:v>
                </c:pt>
                <c:pt idx="14">
                  <c:v>6.2922301363640072</c:v>
                </c:pt>
                <c:pt idx="15">
                  <c:v>6.4645781024315117</c:v>
                </c:pt>
                <c:pt idx="16">
                  <c:v>6.6755526784888088</c:v>
                </c:pt>
                <c:pt idx="17">
                  <c:v>6.7892140827495906</c:v>
                </c:pt>
                <c:pt idx="18">
                  <c:v>6.8055623152138534</c:v>
                </c:pt>
                <c:pt idx="19">
                  <c:v>6.7245973758816024</c:v>
                </c:pt>
              </c:numCache>
            </c:numRef>
          </c:xVal>
          <c:yVal>
            <c:numRef>
              <c:f>'BHD Calcs'!$V$74:$AO$74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5.8922391504522817</c:v>
                </c:pt>
                <c:pt idx="17">
                  <c:v>6.9330193071632005</c:v>
                </c:pt>
                <c:pt idx="18">
                  <c:v>7.9737994638741192</c:v>
                </c:pt>
                <c:pt idx="19">
                  <c:v>9.014579620585037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Bulkheads!$C$40</c:f>
              <c:strCache>
                <c:ptCount val="1"/>
                <c:pt idx="0">
                  <c:v>6.0</c:v>
                </c:pt>
              </c:strCache>
            </c:strRef>
          </c:tx>
          <c:marker>
            <c:symbol val="none"/>
          </c:marker>
          <c:xVal>
            <c:numRef>
              <c:f>'BHD Calcs'!$V$83:$AO$83</c:f>
              <c:numCache>
                <c:formatCode>0.00</c:formatCode>
                <c:ptCount val="20"/>
                <c:pt idx="0">
                  <c:v>0</c:v>
                </c:pt>
                <c:pt idx="1">
                  <c:v>2.1193592031598927</c:v>
                </c:pt>
                <c:pt idx="2">
                  <c:v>2.898700393949067</c:v>
                </c:pt>
                <c:pt idx="3">
                  <c:v>3.1547882675945473</c:v>
                </c:pt>
                <c:pt idx="4">
                  <c:v>3.2985659709714512</c:v>
                </c:pt>
                <c:pt idx="5">
                  <c:v>3.4421941795709996</c:v>
                </c:pt>
                <c:pt idx="6">
                  <c:v>3.6123014387623362</c:v>
                </c:pt>
                <c:pt idx="7">
                  <c:v>3.7503570208334542</c:v>
                </c:pt>
                <c:pt idx="8">
                  <c:v>3.9930779617898318</c:v>
                </c:pt>
                <c:pt idx="9">
                  <c:v>4.2186657398497616</c:v>
                </c:pt>
                <c:pt idx="10">
                  <c:v>4.4372703748512308</c:v>
                </c:pt>
                <c:pt idx="11">
                  <c:v>4.6523465998508042</c:v>
                </c:pt>
                <c:pt idx="12">
                  <c:v>4.8653928946432163</c:v>
                </c:pt>
                <c:pt idx="13">
                  <c:v>5.0771644435510925</c:v>
                </c:pt>
                <c:pt idx="14">
                  <c:v>5.2880831625559521</c:v>
                </c:pt>
                <c:pt idx="15">
                  <c:v>5.4984032741352529</c:v>
                </c:pt>
                <c:pt idx="16">
                  <c:v>5.9199579199846646</c:v>
                </c:pt>
                <c:pt idx="17">
                  <c:v>6.1883561626676524</c:v>
                </c:pt>
                <c:pt idx="18">
                  <c:v>6.3035980021842164</c:v>
                </c:pt>
                <c:pt idx="19">
                  <c:v>6.2656834385343565</c:v>
                </c:pt>
              </c:numCache>
            </c:numRef>
          </c:xVal>
          <c:yVal>
            <c:numRef>
              <c:f>'BHD Calcs'!$V$80:$AO$80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5.9364157075602337</c:v>
                </c:pt>
                <c:pt idx="17">
                  <c:v>7.0213724213791036</c:v>
                </c:pt>
                <c:pt idx="18">
                  <c:v>8.1063291351979743</c:v>
                </c:pt>
                <c:pt idx="19">
                  <c:v>9.1912858490168432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Bulkheads!$C$41</c:f>
              <c:strCache>
                <c:ptCount val="1"/>
                <c:pt idx="0">
                  <c:v>4.5</c:v>
                </c:pt>
              </c:strCache>
            </c:strRef>
          </c:tx>
          <c:marker>
            <c:symbol val="none"/>
          </c:marker>
          <c:xVal>
            <c:numRef>
              <c:f>'BHD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1.2033210464885264</c:v>
                </c:pt>
                <c:pt idx="2">
                  <c:v>1.8646256070063247</c:v>
                </c:pt>
                <c:pt idx="3">
                  <c:v>2.1143991793515866</c:v>
                </c:pt>
                <c:pt idx="4">
                  <c:v>2.2584549293835825</c:v>
                </c:pt>
                <c:pt idx="5">
                  <c:v>2.4016134437050449</c:v>
                </c:pt>
                <c:pt idx="6">
                  <c:v>2.5667250725693278</c:v>
                </c:pt>
                <c:pt idx="7">
                  <c:v>2.6966433001289691</c:v>
                </c:pt>
                <c:pt idx="8">
                  <c:v>2.9188532384319603</c:v>
                </c:pt>
                <c:pt idx="9">
                  <c:v>3.1214299161898689</c:v>
                </c:pt>
                <c:pt idx="10">
                  <c:v>3.3159055399014661</c:v>
                </c:pt>
                <c:pt idx="11">
                  <c:v>3.5062593964189972</c:v>
                </c:pt>
                <c:pt idx="12">
                  <c:v>3.6942312601879297</c:v>
                </c:pt>
                <c:pt idx="13">
                  <c:v>3.8807025437093756</c:v>
                </c:pt>
                <c:pt idx="14">
                  <c:v>4.0661675409192179</c:v>
                </c:pt>
                <c:pt idx="15">
                  <c:v>4.2509249294209637</c:v>
                </c:pt>
                <c:pt idx="16">
                  <c:v>4.8083790407538149</c:v>
                </c:pt>
                <c:pt idx="17">
                  <c:v>5.2145078366616424</c:v>
                </c:pt>
                <c:pt idx="18">
                  <c:v>5.469311317144447</c:v>
                </c:pt>
                <c:pt idx="19">
                  <c:v>5.5727894822022277</c:v>
                </c:pt>
              </c:numCache>
            </c:numRef>
          </c:xVal>
          <c:yVal>
            <c:numRef>
              <c:f>'BHD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6.0108372154561538</c:v>
                </c:pt>
                <c:pt idx="17">
                  <c:v>7.1702154371709437</c:v>
                </c:pt>
                <c:pt idx="18">
                  <c:v>8.3295936588857344</c:v>
                </c:pt>
                <c:pt idx="19">
                  <c:v>9.4889718806005234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Bulkheads!$C$42</c:f>
              <c:strCache>
                <c:ptCount val="1"/>
                <c:pt idx="0">
                  <c:v>3.0</c:v>
                </c:pt>
              </c:strCache>
            </c:strRef>
          </c:tx>
          <c:marker>
            <c:symbol val="none"/>
          </c:marker>
          <c:xVal>
            <c:numRef>
              <c:f>'BHD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1.150679087773347E-2</c:v>
                </c:pt>
                <c:pt idx="2">
                  <c:v>4.7511165452276731E-2</c:v>
                </c:pt>
                <c:pt idx="3">
                  <c:v>9.935449034970463E-2</c:v>
                </c:pt>
                <c:pt idx="4">
                  <c:v>0.1653168120778829</c:v>
                </c:pt>
                <c:pt idx="5">
                  <c:v>0.28713575661324359</c:v>
                </c:pt>
                <c:pt idx="6">
                  <c:v>0.53829998269246349</c:v>
                </c:pt>
                <c:pt idx="7">
                  <c:v>0.83041829136985013</c:v>
                </c:pt>
                <c:pt idx="8">
                  <c:v>1.460876342052239</c:v>
                </c:pt>
                <c:pt idx="9">
                  <c:v>2.0513776685330196</c:v>
                </c:pt>
                <c:pt idx="10">
                  <c:v>2.5166290527749875</c:v>
                </c:pt>
                <c:pt idx="11">
                  <c:v>2.8131762988311273</c:v>
                </c:pt>
                <c:pt idx="12">
                  <c:v>2.9394042328446135</c:v>
                </c:pt>
                <c:pt idx="13">
                  <c:v>2.9355367030488106</c:v>
                </c:pt>
                <c:pt idx="14">
                  <c:v>2.8836365797672472</c:v>
                </c:pt>
                <c:pt idx="15">
                  <c:v>2.9076057554137011</c:v>
                </c:pt>
                <c:pt idx="16">
                  <c:v>3.4180172634213397</c:v>
                </c:pt>
                <c:pt idx="17">
                  <c:v>3.8653697100895879</c:v>
                </c:pt>
                <c:pt idx="18">
                  <c:v>4.2496630954184447</c:v>
                </c:pt>
                <c:pt idx="19">
                  <c:v>4.5708974194079124</c:v>
                </c:pt>
              </c:numCache>
            </c:numRef>
          </c:xVal>
          <c:yVal>
            <c:numRef>
              <c:f>'BHD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6.1157594930830559</c:v>
                </c:pt>
                <c:pt idx="17">
                  <c:v>7.3800599924247479</c:v>
                </c:pt>
                <c:pt idx="18">
                  <c:v>8.6443604917664398</c:v>
                </c:pt>
                <c:pt idx="19">
                  <c:v>9.9086609911081318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Bulkheads!$C$43</c:f>
              <c:strCache>
                <c:ptCount val="1"/>
                <c:pt idx="0">
                  <c:v>1.5</c:v>
                </c:pt>
              </c:strCache>
            </c:strRef>
          </c:tx>
          <c:marker>
            <c:symbol val="none"/>
          </c:marker>
          <c:xVal>
            <c:numRef>
              <c:f>'BHD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4.3062026290759825E-4</c:v>
                </c:pt>
                <c:pt idx="2">
                  <c:v>5.2959424103839296E-3</c:v>
                </c:pt>
                <c:pt idx="3">
                  <c:v>1.5187245336566794E-2</c:v>
                </c:pt>
                <c:pt idx="4">
                  <c:v>2.9738092278625932E-2</c:v>
                </c:pt>
                <c:pt idx="5">
                  <c:v>5.9524506076671632E-2</c:v>
                </c:pt>
                <c:pt idx="6">
                  <c:v>0.12756486084420546</c:v>
                </c:pt>
                <c:pt idx="7">
                  <c:v>0.21425946403893781</c:v>
                </c:pt>
                <c:pt idx="8">
                  <c:v>0.42540641218846176</c:v>
                </c:pt>
                <c:pt idx="9">
                  <c:v>0.66053610124095385</c:v>
                </c:pt>
                <c:pt idx="10">
                  <c:v>0.89358849432616894</c:v>
                </c:pt>
                <c:pt idx="11">
                  <c:v>1.1048727669879082</c:v>
                </c:pt>
                <c:pt idx="12">
                  <c:v>1.2810673071840206</c:v>
                </c:pt>
                <c:pt idx="13">
                  <c:v>1.4152197152864006</c:v>
                </c:pt>
                <c:pt idx="14">
                  <c:v>1.5067468040809791</c:v>
                </c:pt>
                <c:pt idx="15">
                  <c:v>1.5614345987677578</c:v>
                </c:pt>
                <c:pt idx="16">
                  <c:v>1.8395041132760412</c:v>
                </c:pt>
                <c:pt idx="17">
                  <c:v>2.2009451858263089</c:v>
                </c:pt>
                <c:pt idx="18">
                  <c:v>2.6457578164185604</c:v>
                </c:pt>
                <c:pt idx="19">
                  <c:v>3.1739420050527971</c:v>
                </c:pt>
              </c:numCache>
            </c:numRef>
          </c:xVal>
          <c:yVal>
            <c:numRef>
              <c:f>'BHD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6.2512364253329924</c:v>
                </c:pt>
                <c:pt idx="17">
                  <c:v>7.6510138569246209</c:v>
                </c:pt>
                <c:pt idx="18">
                  <c:v>9.0507912885162494</c:v>
                </c:pt>
                <c:pt idx="19">
                  <c:v>10.450568720107878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33888"/>
        <c:axId val="145747968"/>
      </c:scatterChart>
      <c:valAx>
        <c:axId val="145733888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747968"/>
        <c:crosses val="autoZero"/>
        <c:crossBetween val="midCat"/>
        <c:majorUnit val="2"/>
      </c:valAx>
      <c:valAx>
        <c:axId val="14574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33888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068592533966494"/>
          <c:y val="4.5482164240359023E-2"/>
          <c:w val="0.1067088774567999"/>
          <c:h val="0.8223175294656911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6885389326341"/>
          <c:y val="5.1400554097404488E-2"/>
          <c:w val="0.8127236389029352"/>
          <c:h val="0.8971988918051916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Bulkheads!$F$30</c:f>
              <c:strCache>
                <c:ptCount val="1"/>
                <c:pt idx="0">
                  <c:v>Flare Angle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Sections!$C$31:$C$50</c:f>
              <c:numCache>
                <c:formatCode>0.00</c:formatCode>
                <c:ptCount val="20"/>
                <c:pt idx="0">
                  <c:v>1.2824749470946111</c:v>
                </c:pt>
                <c:pt idx="1">
                  <c:v>4.1395034771483425</c:v>
                </c:pt>
                <c:pt idx="2">
                  <c:v>5.2719322788055427</c:v>
                </c:pt>
                <c:pt idx="3">
                  <c:v>3.9982682321119314</c:v>
                </c:pt>
                <c:pt idx="4">
                  <c:v>0.94370153142118629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1.5866545434905122</c:v>
                </c:pt>
                <c:pt idx="11">
                  <c:v>6.7412857962523534</c:v>
                </c:pt>
                <c:pt idx="12">
                  <c:v>12.18096917290892</c:v>
                </c:pt>
                <c:pt idx="13">
                  <c:v>17.126677105651122</c:v>
                </c:pt>
                <c:pt idx="14">
                  <c:v>20.91061085942356</c:v>
                </c:pt>
                <c:pt idx="15">
                  <c:v>23.081547036781732</c:v>
                </c:pt>
                <c:pt idx="16">
                  <c:v>23.319003646585781</c:v>
                </c:pt>
                <c:pt idx="17">
                  <c:v>21.351537351515862</c:v>
                </c:pt>
                <c:pt idx="18">
                  <c:v>17.086278655224003</c:v>
                </c:pt>
                <c:pt idx="19">
                  <c:v>11.261155885047669</c:v>
                </c:pt>
              </c:numCache>
            </c:numRef>
          </c:yVal>
          <c:smooth val="1"/>
        </c:ser>
        <c:ser>
          <c:idx val="2"/>
          <c:order val="1"/>
          <c:tx>
            <c:v>BHD Data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xVal>
            <c:numRef>
              <c:f>Bulkheads!$C$31:$C$43</c:f>
              <c:numCache>
                <c:formatCode>0.0</c:formatCode>
                <c:ptCount val="13"/>
                <c:pt idx="0">
                  <c:v>19.499999999999996</c:v>
                </c:pt>
                <c:pt idx="1">
                  <c:v>17.999999999999996</c:v>
                </c:pt>
                <c:pt idx="2">
                  <c:v>16.499999999999996</c:v>
                </c:pt>
                <c:pt idx="3">
                  <c:v>14.999999999999996</c:v>
                </c:pt>
                <c:pt idx="4">
                  <c:v>13.499999999999996</c:v>
                </c:pt>
                <c:pt idx="5">
                  <c:v>11.999999999999995</c:v>
                </c:pt>
                <c:pt idx="6">
                  <c:v>10.499999999999995</c:v>
                </c:pt>
                <c:pt idx="7">
                  <c:v>8.9999999999999947</c:v>
                </c:pt>
                <c:pt idx="8">
                  <c:v>7.4999999999999964</c:v>
                </c:pt>
                <c:pt idx="9">
                  <c:v>5.9999999999999964</c:v>
                </c:pt>
                <c:pt idx="10">
                  <c:v>4.4999999999999964</c:v>
                </c:pt>
                <c:pt idx="11">
                  <c:v>3</c:v>
                </c:pt>
                <c:pt idx="12">
                  <c:v>1.5</c:v>
                </c:pt>
              </c:numCache>
            </c:numRef>
          </c:xVal>
          <c:yVal>
            <c:numRef>
              <c:f>Bulkheads!$F$31:$F$43</c:f>
              <c:numCache>
                <c:formatCode>0.00</c:formatCode>
                <c:ptCount val="13"/>
                <c:pt idx="0">
                  <c:v>2.836822755727848</c:v>
                </c:pt>
                <c:pt idx="1">
                  <c:v>5.2719322788055427</c:v>
                </c:pt>
                <c:pt idx="2">
                  <c:v>2.424002916601975</c:v>
                </c:pt>
                <c:pt idx="3">
                  <c:v>0</c:v>
                </c:pt>
                <c:pt idx="4">
                  <c:v>2.3689571878713774E-3</c:v>
                </c:pt>
                <c:pt idx="5">
                  <c:v>0</c:v>
                </c:pt>
                <c:pt idx="6">
                  <c:v>0.39183068663704379</c:v>
                </c:pt>
                <c:pt idx="7">
                  <c:v>6.7412857962523844</c:v>
                </c:pt>
                <c:pt idx="8">
                  <c:v>14.748927961666768</c:v>
                </c:pt>
                <c:pt idx="9">
                  <c:v>20.910610859423571</c:v>
                </c:pt>
                <c:pt idx="10">
                  <c:v>23.45896649579937</c:v>
                </c:pt>
                <c:pt idx="11">
                  <c:v>21.351537351515862</c:v>
                </c:pt>
                <c:pt idx="12">
                  <c:v>14.296091611234276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Bulkheads!$Y$30</c:f>
              <c:strCache>
                <c:ptCount val="1"/>
                <c:pt idx="0">
                  <c:v>Deadrise</c:v>
                </c:pt>
              </c:strCache>
            </c:strRef>
          </c:tx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Sections!$T$31:$T$50</c:f>
              <c:numCache>
                <c:formatCode>0.00</c:formatCode>
                <c:ptCount val="20"/>
                <c:pt idx="0">
                  <c:v>39.829560511310717</c:v>
                </c:pt>
                <c:pt idx="1">
                  <c:v>45.462668481033795</c:v>
                </c:pt>
                <c:pt idx="2">
                  <c:v>36.858886281317503</c:v>
                </c:pt>
                <c:pt idx="3">
                  <c:v>32.601751124332495</c:v>
                </c:pt>
                <c:pt idx="4">
                  <c:v>30.451384350955646</c:v>
                </c:pt>
                <c:pt idx="5">
                  <c:v>26.910017201086891</c:v>
                </c:pt>
                <c:pt idx="6">
                  <c:v>19.215311704494169</c:v>
                </c:pt>
                <c:pt idx="7">
                  <c:v>16.559295960007802</c:v>
                </c:pt>
                <c:pt idx="8">
                  <c:v>13.35150633328324</c:v>
                </c:pt>
                <c:pt idx="9">
                  <c:v>10.493884578402586</c:v>
                </c:pt>
                <c:pt idx="10">
                  <c:v>8.2209098305567778</c:v>
                </c:pt>
                <c:pt idx="11">
                  <c:v>5.5467527921985322</c:v>
                </c:pt>
                <c:pt idx="12">
                  <c:v>3.3683261971741558</c:v>
                </c:pt>
                <c:pt idx="13">
                  <c:v>2.1324176288467243</c:v>
                </c:pt>
                <c:pt idx="14">
                  <c:v>1.7512762740252583</c:v>
                </c:pt>
                <c:pt idx="15">
                  <c:v>3.3123586654853199</c:v>
                </c:pt>
                <c:pt idx="16">
                  <c:v>28.255931538698892</c:v>
                </c:pt>
                <c:pt idx="17">
                  <c:v>72.392092148085126</c:v>
                </c:pt>
                <c:pt idx="18">
                  <c:v>90.001159402769559</c:v>
                </c:pt>
                <c:pt idx="19">
                  <c:v>89.986037809451901</c:v>
                </c:pt>
              </c:numCache>
            </c:numRef>
          </c:yVal>
          <c:smooth val="1"/>
        </c:ser>
        <c:ser>
          <c:idx val="0"/>
          <c:order val="3"/>
          <c:tx>
            <c:v>BHD Data</c:v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Bulkheads!$C$31:$C$43</c:f>
              <c:numCache>
                <c:formatCode>0.0</c:formatCode>
                <c:ptCount val="13"/>
                <c:pt idx="0">
                  <c:v>19.499999999999996</c:v>
                </c:pt>
                <c:pt idx="1">
                  <c:v>17.999999999999996</c:v>
                </c:pt>
                <c:pt idx="2">
                  <c:v>16.499999999999996</c:v>
                </c:pt>
                <c:pt idx="3">
                  <c:v>14.999999999999996</c:v>
                </c:pt>
                <c:pt idx="4">
                  <c:v>13.499999999999996</c:v>
                </c:pt>
                <c:pt idx="5">
                  <c:v>11.999999999999995</c:v>
                </c:pt>
                <c:pt idx="6">
                  <c:v>10.499999999999995</c:v>
                </c:pt>
                <c:pt idx="7">
                  <c:v>8.9999999999999947</c:v>
                </c:pt>
                <c:pt idx="8">
                  <c:v>7.4999999999999964</c:v>
                </c:pt>
                <c:pt idx="9">
                  <c:v>5.9999999999999964</c:v>
                </c:pt>
                <c:pt idx="10">
                  <c:v>4.4999999999999964</c:v>
                </c:pt>
                <c:pt idx="11">
                  <c:v>3</c:v>
                </c:pt>
                <c:pt idx="12">
                  <c:v>1.5</c:v>
                </c:pt>
              </c:numCache>
            </c:numRef>
          </c:xVal>
          <c:yVal>
            <c:numRef>
              <c:f>Bulkheads!$G$31:$G$43</c:f>
              <c:numCache>
                <c:formatCode>0.00</c:formatCode>
                <c:ptCount val="13"/>
                <c:pt idx="0">
                  <c:v>44.178664028995975</c:v>
                </c:pt>
                <c:pt idx="1">
                  <c:v>36.858886281317474</c:v>
                </c:pt>
                <c:pt idx="2">
                  <c:v>31.519148620029629</c:v>
                </c:pt>
                <c:pt idx="3">
                  <c:v>26.910017201086866</c:v>
                </c:pt>
                <c:pt idx="4">
                  <c:v>17.454802825531356</c:v>
                </c:pt>
                <c:pt idx="5">
                  <c:v>13.35150633328322</c:v>
                </c:pt>
                <c:pt idx="6">
                  <c:v>9.3701564376146766</c:v>
                </c:pt>
                <c:pt idx="7">
                  <c:v>5.5467527921985189</c:v>
                </c:pt>
                <c:pt idx="8">
                  <c:v>2.5677073914577004</c:v>
                </c:pt>
                <c:pt idx="9">
                  <c:v>1.7512762740252528</c:v>
                </c:pt>
                <c:pt idx="10">
                  <c:v>11.980847265464313</c:v>
                </c:pt>
                <c:pt idx="11">
                  <c:v>72.392092148085126</c:v>
                </c:pt>
                <c:pt idx="12">
                  <c:v>90.956107786831041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09248"/>
        <c:axId val="145911168"/>
      </c:scatterChart>
      <c:valAx>
        <c:axId val="145909248"/>
        <c:scaling>
          <c:orientation val="minMax"/>
          <c:max val="20"/>
        </c:scaling>
        <c:delete val="0"/>
        <c:axPos val="b"/>
        <c:majorGridlines>
          <c:spPr>
            <a:ln>
              <a:solidFill>
                <a:srgbClr val="1F497D">
                  <a:lumMod val="75000"/>
                </a:srgb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911168"/>
        <c:crosses val="autoZero"/>
        <c:crossBetween val="midCat"/>
      </c:valAx>
      <c:valAx>
        <c:axId val="145911168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tx2">
                <a:lumMod val="75000"/>
              </a:schemeClr>
            </a:solidFill>
          </a:ln>
        </c:spPr>
        <c:crossAx val="145909248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5090456673783923"/>
          <c:y val="5.0940023949202107E-2"/>
          <c:w val="0.17838503351075474"/>
          <c:h val="0.13098863301223398"/>
        </c:manualLayout>
      </c:layout>
      <c:overlay val="0"/>
      <c:spPr>
        <a:solidFill>
          <a:schemeClr val="bg1"/>
        </a:solidFill>
        <a:ln>
          <a:solidFill>
            <a:srgbClr val="1F497D">
              <a:lumMod val="75000"/>
            </a:srgbClr>
          </a:solidFill>
        </a:ln>
      </c:spPr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049431601318894E-2"/>
          <c:y val="5.1400554097404488E-2"/>
          <c:w val="0.89993210489944375"/>
          <c:h val="0.89719889180519163"/>
        </c:manualLayout>
      </c:layout>
      <c:scatterChart>
        <c:scatterStyle val="smoothMarker"/>
        <c:varyColors val="0"/>
        <c:ser>
          <c:idx val="5"/>
          <c:order val="0"/>
          <c:tx>
            <c:strRef>
              <c:f>Decks!$P$26:$Q$26</c:f>
              <c:strCache>
                <c:ptCount val="1"/>
                <c:pt idx="0">
                  <c:v>8.961228969 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Calcs'!$C$8:$Y$8</c:f>
              <c:numCache>
                <c:formatCode>General</c:formatCode>
                <c:ptCount val="23"/>
                <c:pt idx="0" formatCode="0.00">
                  <c:v>0</c:v>
                </c:pt>
                <c:pt idx="1">
                  <c:v>0</c:v>
                </c:pt>
                <c:pt idx="2" formatCode="0.00">
                  <c:v>-6.3246769080712024</c:v>
                </c:pt>
                <c:pt idx="3" formatCode="0.00">
                  <c:v>-12.649353816142405</c:v>
                </c:pt>
                <c:pt idx="4" formatCode="0.00">
                  <c:v>-18.974030724213605</c:v>
                </c:pt>
                <c:pt idx="5" formatCode="0.00">
                  <c:v>-25.29870763228481</c:v>
                </c:pt>
                <c:pt idx="6" formatCode="0.00">
                  <c:v>-31.623384540356014</c:v>
                </c:pt>
                <c:pt idx="7" formatCode="0.00">
                  <c:v>-37.948061448427218</c:v>
                </c:pt>
                <c:pt idx="8" formatCode="0.00">
                  <c:v>-44.272738356498422</c:v>
                </c:pt>
                <c:pt idx="9" formatCode="0.00">
                  <c:v>-50.597415264569626</c:v>
                </c:pt>
                <c:pt idx="10" formatCode="0.00">
                  <c:v>-56.922092172640831</c:v>
                </c:pt>
                <c:pt idx="11" formatCode="0.00">
                  <c:v>-63.246769080712021</c:v>
                </c:pt>
                <c:pt idx="12" formatCode="0.00">
                  <c:v>-69.571445988783225</c:v>
                </c:pt>
                <c:pt idx="13" formatCode="0.00">
                  <c:v>-75.896122896854422</c:v>
                </c:pt>
                <c:pt idx="14" formatCode="0.00">
                  <c:v>-82.220799804925619</c:v>
                </c:pt>
                <c:pt idx="15" formatCode="0.00">
                  <c:v>-88.545476712996816</c:v>
                </c:pt>
                <c:pt idx="16" formatCode="0.00">
                  <c:v>-94.870153621068013</c:v>
                </c:pt>
                <c:pt idx="17" formatCode="0.00">
                  <c:v>-101.19483052913921</c:v>
                </c:pt>
                <c:pt idx="18" formatCode="0.00">
                  <c:v>-107.51950743721041</c:v>
                </c:pt>
                <c:pt idx="19" formatCode="0.00">
                  <c:v>-113.8441843452816</c:v>
                </c:pt>
                <c:pt idx="20" formatCode="0.00">
                  <c:v>-120.1688612533528</c:v>
                </c:pt>
                <c:pt idx="21" formatCode="0.00">
                  <c:v>-126.493538161424</c:v>
                </c:pt>
                <c:pt idx="22" formatCode="0.00">
                  <c:v>-127.36709673652281</c:v>
                </c:pt>
              </c:numCache>
            </c:numRef>
          </c:xVal>
          <c:yVal>
            <c:numRef>
              <c:f>'Decks Calcs'!$C$16:$Y$16</c:f>
              <c:numCache>
                <c:formatCode>0.00</c:formatCode>
                <c:ptCount val="23"/>
                <c:pt idx="0">
                  <c:v>0</c:v>
                </c:pt>
                <c:pt idx="1">
                  <c:v>0.59574679092806004</c:v>
                </c:pt>
                <c:pt idx="2">
                  <c:v>1.9465133955318101</c:v>
                </c:pt>
                <c:pt idx="3">
                  <c:v>3.2119240951499806</c:v>
                </c:pt>
                <c:pt idx="4">
                  <c:v>4.3027778402209096</c:v>
                </c:pt>
                <c:pt idx="5">
                  <c:v>5.1709884928708156</c:v>
                </c:pt>
                <c:pt idx="6">
                  <c:v>5.8176037297806342</c:v>
                </c:pt>
                <c:pt idx="7">
                  <c:v>6.2790426770176975</c:v>
                </c:pt>
                <c:pt idx="8">
                  <c:v>6.6047753722906393</c:v>
                </c:pt>
                <c:pt idx="9">
                  <c:v>6.8386511149847697</c:v>
                </c:pt>
                <c:pt idx="10">
                  <c:v>7.0055329520672602</c:v>
                </c:pt>
                <c:pt idx="11">
                  <c:v>7.1110077346510696</c:v>
                </c:pt>
                <c:pt idx="12">
                  <c:v>7.1514950326669675</c:v>
                </c:pt>
                <c:pt idx="13">
                  <c:v>7.1226465812408133</c:v>
                </c:pt>
                <c:pt idx="14">
                  <c:v>7.023871484950706</c:v>
                </c:pt>
                <c:pt idx="15">
                  <c:v>6.8549363274879553</c:v>
                </c:pt>
                <c:pt idx="16">
                  <c:v>6.6164656021596429</c:v>
                </c:pt>
                <c:pt idx="17">
                  <c:v>6.3093171779245747</c:v>
                </c:pt>
                <c:pt idx="18">
                  <c:v>5.9350056813135614</c:v>
                </c:pt>
                <c:pt idx="19">
                  <c:v>5.4954651999512389</c:v>
                </c:pt>
                <c:pt idx="20">
                  <c:v>4.9916339358613104</c:v>
                </c:pt>
                <c:pt idx="21">
                  <c:v>4.4258383258403278</c:v>
                </c:pt>
                <c:pt idx="22">
                  <c:v>4.3459338202478976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Decks!$P$25:$Q$25</c:f>
              <c:strCache>
                <c:ptCount val="1"/>
                <c:pt idx="0">
                  <c:v>11.5 m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Calcs'!$C$7:$Y$7</c:f>
              <c:numCache>
                <c:formatCode>General</c:formatCode>
                <c:ptCount val="23"/>
                <c:pt idx="0" formatCode="0.00">
                  <c:v>0</c:v>
                </c:pt>
                <c:pt idx="1">
                  <c:v>0</c:v>
                </c:pt>
                <c:pt idx="2" formatCode="0.00">
                  <c:v>-6.3246769080712024</c:v>
                </c:pt>
                <c:pt idx="3" formatCode="0.00">
                  <c:v>-12.649353816142405</c:v>
                </c:pt>
                <c:pt idx="4" formatCode="0.00">
                  <c:v>-18.974030724213605</c:v>
                </c:pt>
                <c:pt idx="5" formatCode="0.00">
                  <c:v>-25.29870763228481</c:v>
                </c:pt>
                <c:pt idx="6" formatCode="0.00">
                  <c:v>-31.623384540356014</c:v>
                </c:pt>
                <c:pt idx="7" formatCode="0.00">
                  <c:v>-37.948061448427218</c:v>
                </c:pt>
                <c:pt idx="8" formatCode="0.00">
                  <c:v>-44.272738356498422</c:v>
                </c:pt>
                <c:pt idx="9" formatCode="0.00">
                  <c:v>-50.597415264569626</c:v>
                </c:pt>
                <c:pt idx="10" formatCode="0.00">
                  <c:v>-56.922092172640831</c:v>
                </c:pt>
                <c:pt idx="11" formatCode="0.00">
                  <c:v>-63.246769080712021</c:v>
                </c:pt>
                <c:pt idx="12" formatCode="0.00">
                  <c:v>-69.571445988783225</c:v>
                </c:pt>
                <c:pt idx="13" formatCode="0.00">
                  <c:v>-75.896122896854422</c:v>
                </c:pt>
                <c:pt idx="14" formatCode="0.00">
                  <c:v>-82.220799804925619</c:v>
                </c:pt>
                <c:pt idx="15" formatCode="0.00">
                  <c:v>-88.545476712996816</c:v>
                </c:pt>
                <c:pt idx="16" formatCode="0.00">
                  <c:v>-94.870153621068013</c:v>
                </c:pt>
                <c:pt idx="17" formatCode="0.00">
                  <c:v>-101.19483052913921</c:v>
                </c:pt>
                <c:pt idx="18" formatCode="0.00">
                  <c:v>-107.51950743721041</c:v>
                </c:pt>
                <c:pt idx="19" formatCode="0.00">
                  <c:v>-113.8441843452816</c:v>
                </c:pt>
                <c:pt idx="20" formatCode="0.00">
                  <c:v>-120.1688612533528</c:v>
                </c:pt>
                <c:pt idx="21" formatCode="0.00">
                  <c:v>-126.493538161424</c:v>
                </c:pt>
                <c:pt idx="22" formatCode="0.00">
                  <c:v>-127.47337501735782</c:v>
                </c:pt>
              </c:numCache>
            </c:numRef>
          </c:xVal>
          <c:yVal>
            <c:numRef>
              <c:f>'Decks Calcs'!$C$15:$Y$15</c:f>
              <c:numCache>
                <c:formatCode>0.00</c:formatCode>
                <c:ptCount val="23"/>
                <c:pt idx="0">
                  <c:v>0</c:v>
                </c:pt>
                <c:pt idx="1">
                  <c:v>1.4379465853323192</c:v>
                </c:pt>
                <c:pt idx="2">
                  <c:v>2.9572995718021269</c:v>
                </c:pt>
                <c:pt idx="3">
                  <c:v>4.1471998263847816</c:v>
                </c:pt>
                <c:pt idx="4">
                  <c:v>5.0197704222821242</c:v>
                </c:pt>
                <c:pt idx="5">
                  <c:v>5.6343273901527677</c:v>
                </c:pt>
                <c:pt idx="6">
                  <c:v>6.0789446674120811</c:v>
                </c:pt>
                <c:pt idx="7">
                  <c:v>6.4245460721852723</c:v>
                </c:pt>
                <c:pt idx="8">
                  <c:v>6.6945365308582083</c:v>
                </c:pt>
                <c:pt idx="9">
                  <c:v>6.8914974216669549</c:v>
                </c:pt>
                <c:pt idx="10">
                  <c:v>7.0308469479860181</c:v>
                </c:pt>
                <c:pt idx="11">
                  <c:v>7.1423072624017125</c:v>
                </c:pt>
                <c:pt idx="12">
                  <c:v>7.231822311311352</c:v>
                </c:pt>
                <c:pt idx="13">
                  <c:v>7.2932270432079793</c:v>
                </c:pt>
                <c:pt idx="14">
                  <c:v>7.2942372755503015</c:v>
                </c:pt>
                <c:pt idx="15">
                  <c:v>7.1977389758245147</c:v>
                </c:pt>
                <c:pt idx="16">
                  <c:v>6.9774996528271309</c:v>
                </c:pt>
                <c:pt idx="17">
                  <c:v>6.6083283108529454</c:v>
                </c:pt>
                <c:pt idx="18">
                  <c:v>6.0995075147555866</c:v>
                </c:pt>
                <c:pt idx="19">
                  <c:v>5.4921011224272061</c:v>
                </c:pt>
                <c:pt idx="20">
                  <c:v>4.8619559001554524</c:v>
                </c:pt>
                <c:pt idx="21">
                  <c:v>4.3310568689666953</c:v>
                </c:pt>
                <c:pt idx="22">
                  <c:v>4.2528729598787267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Decks!$P$24:$Q$24</c:f>
              <c:strCache>
                <c:ptCount val="1"/>
                <c:pt idx="0">
                  <c:v>9 m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Calcs'!$C$6:$Y$6</c:f>
              <c:numCache>
                <c:formatCode>General</c:formatCode>
                <c:ptCount val="23"/>
                <c:pt idx="0" formatCode="0.00">
                  <c:v>0</c:v>
                </c:pt>
                <c:pt idx="1">
                  <c:v>0</c:v>
                </c:pt>
                <c:pt idx="2" formatCode="0.00">
                  <c:v>-6.3246769080712024</c:v>
                </c:pt>
                <c:pt idx="3" formatCode="0.00">
                  <c:v>-12.649353816142405</c:v>
                </c:pt>
                <c:pt idx="4" formatCode="0.00">
                  <c:v>-18.974030724213605</c:v>
                </c:pt>
                <c:pt idx="5" formatCode="0.00">
                  <c:v>-25.29870763228481</c:v>
                </c:pt>
                <c:pt idx="6" formatCode="0.00">
                  <c:v>-31.623384540356014</c:v>
                </c:pt>
                <c:pt idx="7" formatCode="0.00">
                  <c:v>-37.948061448427218</c:v>
                </c:pt>
                <c:pt idx="8" formatCode="0.00">
                  <c:v>-44.272738356498422</c:v>
                </c:pt>
                <c:pt idx="9" formatCode="0.00">
                  <c:v>-50.597415264569626</c:v>
                </c:pt>
                <c:pt idx="10" formatCode="0.00">
                  <c:v>-56.922092172640831</c:v>
                </c:pt>
                <c:pt idx="11" formatCode="0.00">
                  <c:v>-63.246769080712021</c:v>
                </c:pt>
                <c:pt idx="12" formatCode="0.00">
                  <c:v>-69.571445988783225</c:v>
                </c:pt>
                <c:pt idx="13" formatCode="0.00">
                  <c:v>-75.896122896854422</c:v>
                </c:pt>
                <c:pt idx="14" formatCode="0.00">
                  <c:v>-82.220799804925619</c:v>
                </c:pt>
                <c:pt idx="15" formatCode="0.00">
                  <c:v>-88.545476712996816</c:v>
                </c:pt>
                <c:pt idx="16" formatCode="0.00">
                  <c:v>-94.870153621068013</c:v>
                </c:pt>
                <c:pt idx="17" formatCode="0.00">
                  <c:v>-101.19483052913921</c:v>
                </c:pt>
                <c:pt idx="18" formatCode="0.00">
                  <c:v>-107.51950743721041</c:v>
                </c:pt>
                <c:pt idx="19" formatCode="0.00">
                  <c:v>-113.8441843452816</c:v>
                </c:pt>
                <c:pt idx="20" formatCode="0.00">
                  <c:v>-120.1688612533528</c:v>
                </c:pt>
                <c:pt idx="21" formatCode="0.00">
                  <c:v>-126.493538161424</c:v>
                </c:pt>
                <c:pt idx="22" formatCode="0.00">
                  <c:v>-127.37533777366144</c:v>
                </c:pt>
              </c:numCache>
            </c:numRef>
          </c:xVal>
          <c:yVal>
            <c:numRef>
              <c:f>'Decks Calcs'!$C$14:$Y$14</c:f>
              <c:numCache>
                <c:formatCode>0.00</c:formatCode>
                <c:ptCount val="23"/>
                <c:pt idx="0">
                  <c:v>0</c:v>
                </c:pt>
                <c:pt idx="1">
                  <c:v>0.60600167075487199</c:v>
                </c:pt>
                <c:pt idx="2">
                  <c:v>1.9595247661544848</c:v>
                </c:pt>
                <c:pt idx="3">
                  <c:v>3.2252523703036586</c:v>
                </c:pt>
                <c:pt idx="4">
                  <c:v>4.3137129474651861</c:v>
                </c:pt>
                <c:pt idx="5">
                  <c:v>5.17754546882282</c:v>
                </c:pt>
                <c:pt idx="6">
                  <c:v>5.8193460408099984</c:v>
                </c:pt>
                <c:pt idx="7">
                  <c:v>6.2768664003722225</c:v>
                </c:pt>
                <c:pt idx="8">
                  <c:v>6.6004430875888058</c:v>
                </c:pt>
                <c:pt idx="9">
                  <c:v>6.8341701597371509</c:v>
                </c:pt>
                <c:pt idx="10">
                  <c:v>7.002659359973201</c:v>
                </c:pt>
                <c:pt idx="11">
                  <c:v>7.1109362867116772</c:v>
                </c:pt>
                <c:pt idx="12">
                  <c:v>7.1547161334162546</c:v>
                </c:pt>
                <c:pt idx="13">
                  <c:v>7.1288795486709402</c:v>
                </c:pt>
                <c:pt idx="14">
                  <c:v>7.0321745386178947</c:v>
                </c:pt>
                <c:pt idx="15">
                  <c:v>6.8638880213739499</c:v>
                </c:pt>
                <c:pt idx="16">
                  <c:v>6.6244053996980101</c:v>
                </c:pt>
                <c:pt idx="17">
                  <c:v>6.3147349077190924</c:v>
                </c:pt>
                <c:pt idx="18">
                  <c:v>5.9369041004800591</c:v>
                </c:pt>
                <c:pt idx="19">
                  <c:v>5.4937969272198632</c:v>
                </c:pt>
                <c:pt idx="20">
                  <c:v>4.9878605239614346</c:v>
                </c:pt>
                <c:pt idx="21">
                  <c:v>4.4234828873452141</c:v>
                </c:pt>
                <c:pt idx="22">
                  <c:v>4.3431379970981236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Decks!$P$23:$Q$23</c:f>
              <c:strCache>
                <c:ptCount val="1"/>
                <c:pt idx="0">
                  <c:v>6.5 m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Calcs'!$C$5:$Y$5</c:f>
              <c:numCache>
                <c:formatCode>General</c:formatCode>
                <c:ptCount val="23"/>
                <c:pt idx="0" formatCode="0.00">
                  <c:v>0</c:v>
                </c:pt>
                <c:pt idx="1">
                  <c:v>0</c:v>
                </c:pt>
                <c:pt idx="2" formatCode="0.00">
                  <c:v>-6.3246769080712024</c:v>
                </c:pt>
                <c:pt idx="3" formatCode="0.00">
                  <c:v>-12.649353816142405</c:v>
                </c:pt>
                <c:pt idx="4" formatCode="0.00">
                  <c:v>-18.974030724213605</c:v>
                </c:pt>
                <c:pt idx="5" formatCode="0.00">
                  <c:v>-25.29870763228481</c:v>
                </c:pt>
                <c:pt idx="6" formatCode="0.00">
                  <c:v>-31.623384540356014</c:v>
                </c:pt>
                <c:pt idx="7" formatCode="0.00">
                  <c:v>-37.948061448427218</c:v>
                </c:pt>
                <c:pt idx="8" formatCode="0.00">
                  <c:v>-44.272738356498422</c:v>
                </c:pt>
                <c:pt idx="9" formatCode="0.00">
                  <c:v>-50.597415264569626</c:v>
                </c:pt>
                <c:pt idx="10" formatCode="0.00">
                  <c:v>-56.922092172640831</c:v>
                </c:pt>
                <c:pt idx="11" formatCode="0.00">
                  <c:v>-63.246769080712021</c:v>
                </c:pt>
                <c:pt idx="12" formatCode="0.00">
                  <c:v>-69.571445988783225</c:v>
                </c:pt>
                <c:pt idx="13" formatCode="0.00">
                  <c:v>-75.896122896854422</c:v>
                </c:pt>
                <c:pt idx="14" formatCode="0.00">
                  <c:v>-82.220799804925619</c:v>
                </c:pt>
                <c:pt idx="15" formatCode="0.00">
                  <c:v>-88.545476712996816</c:v>
                </c:pt>
                <c:pt idx="16" formatCode="0.00">
                  <c:v>-94.870153621068013</c:v>
                </c:pt>
                <c:pt idx="17" formatCode="0.00">
                  <c:v>-101.19483052913921</c:v>
                </c:pt>
                <c:pt idx="18" formatCode="0.00">
                  <c:v>-107.51950743721041</c:v>
                </c:pt>
                <c:pt idx="19" formatCode="0.00">
                  <c:v>-113.8441843452816</c:v>
                </c:pt>
                <c:pt idx="20" formatCode="0.00">
                  <c:v>-120.1688612533528</c:v>
                </c:pt>
                <c:pt idx="21" formatCode="0.00">
                  <c:v>-126.493538161424</c:v>
                </c:pt>
                <c:pt idx="22" formatCode="0.00">
                  <c:v>-126.8439463694864</c:v>
                </c:pt>
              </c:numCache>
            </c:numRef>
          </c:xVal>
          <c:yVal>
            <c:numRef>
              <c:f>'Decks Calcs'!$C$13:$Y$13</c:f>
              <c:numCache>
                <c:formatCode>0.00</c:formatCode>
                <c:ptCount val="23"/>
                <c:pt idx="0">
                  <c:v>0</c:v>
                </c:pt>
                <c:pt idx="1">
                  <c:v>0.12216283244844771</c:v>
                </c:pt>
                <c:pt idx="2">
                  <c:v>1.3385914223652344</c:v>
                </c:pt>
                <c:pt idx="3">
                  <c:v>2.5255856778811303</c:v>
                </c:pt>
                <c:pt idx="4">
                  <c:v>3.6316352713353299</c:v>
                </c:pt>
                <c:pt idx="5">
                  <c:v>4.6114308732736831</c:v>
                </c:pt>
                <c:pt idx="6">
                  <c:v>5.431509503545934</c:v>
                </c:pt>
                <c:pt idx="7">
                  <c:v>6.0835867725016</c:v>
                </c:pt>
                <c:pt idx="8">
                  <c:v>6.5611030318699441</c:v>
                </c:pt>
                <c:pt idx="9">
                  <c:v>6.8742524222651724</c:v>
                </c:pt>
                <c:pt idx="10">
                  <c:v>7.0425496600204767</c:v>
                </c:pt>
                <c:pt idx="11">
                  <c:v>7.0900381495407947</c:v>
                </c:pt>
                <c:pt idx="12">
                  <c:v>7.0392201466842117</c:v>
                </c:pt>
                <c:pt idx="13">
                  <c:v>6.9150787817662343</c:v>
                </c:pt>
                <c:pt idx="14">
                  <c:v>6.7395226943746387</c:v>
                </c:pt>
                <c:pt idx="15">
                  <c:v>6.5295882050450089</c:v>
                </c:pt>
                <c:pt idx="16">
                  <c:v>6.2986706807830126</c:v>
                </c:pt>
                <c:pt idx="17">
                  <c:v>6.0446004762412606</c:v>
                </c:pt>
                <c:pt idx="18">
                  <c:v>5.7597185137173135</c:v>
                </c:pt>
                <c:pt idx="19">
                  <c:v>5.4260350820765879</c:v>
                </c:pt>
                <c:pt idx="20">
                  <c:v>5.0074748676574581</c:v>
                </c:pt>
                <c:pt idx="21">
                  <c:v>4.4518756165913302</c:v>
                </c:pt>
                <c:pt idx="22">
                  <c:v>4.4193574507827282</c:v>
                </c:pt>
              </c:numCache>
            </c:numRef>
          </c:yVal>
          <c:smooth val="1"/>
        </c:ser>
        <c:ser>
          <c:idx val="1"/>
          <c:order val="4"/>
          <c:tx>
            <c:strRef>
              <c:f>Decks!$P$22:$Q$22</c:f>
              <c:strCache>
                <c:ptCount val="1"/>
                <c:pt idx="0">
                  <c:v>4 m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'Decks Calcs'!$C$4:$Y$4</c:f>
              <c:numCache>
                <c:formatCode>General</c:formatCode>
                <c:ptCount val="23"/>
                <c:pt idx="0" formatCode="0.00">
                  <c:v>0</c:v>
                </c:pt>
                <c:pt idx="1">
                  <c:v>0</c:v>
                </c:pt>
                <c:pt idx="2" formatCode="0.00">
                  <c:v>-6.3246769080712024</c:v>
                </c:pt>
                <c:pt idx="3" formatCode="0.00">
                  <c:v>-12.649353816142405</c:v>
                </c:pt>
                <c:pt idx="4" formatCode="0.00">
                  <c:v>-18.974030724213605</c:v>
                </c:pt>
                <c:pt idx="5" formatCode="0.00">
                  <c:v>-25.29870763228481</c:v>
                </c:pt>
                <c:pt idx="6" formatCode="0.00">
                  <c:v>-31.623384540356014</c:v>
                </c:pt>
                <c:pt idx="7" formatCode="0.00">
                  <c:v>-37.948061448427218</c:v>
                </c:pt>
                <c:pt idx="8" formatCode="0.00">
                  <c:v>-44.272738356498422</c:v>
                </c:pt>
                <c:pt idx="9" formatCode="0.00">
                  <c:v>-50.597415264569626</c:v>
                </c:pt>
                <c:pt idx="10" formatCode="0.00">
                  <c:v>-56.922092172640831</c:v>
                </c:pt>
                <c:pt idx="11" formatCode="0.00">
                  <c:v>-63.246769080712021</c:v>
                </c:pt>
                <c:pt idx="12" formatCode="0.00">
                  <c:v>-69.571445988783225</c:v>
                </c:pt>
                <c:pt idx="13" formatCode="0.00">
                  <c:v>-75.896122896854422</c:v>
                </c:pt>
                <c:pt idx="14" formatCode="0.00">
                  <c:v>-82.220799804925619</c:v>
                </c:pt>
                <c:pt idx="15" formatCode="0.00">
                  <c:v>-88.545476712996816</c:v>
                </c:pt>
                <c:pt idx="16" formatCode="0.00">
                  <c:v>-94.870153621068013</c:v>
                </c:pt>
                <c:pt idx="17" formatCode="0.00">
                  <c:v>-101.19483052913921</c:v>
                </c:pt>
                <c:pt idx="18" formatCode="0.00">
                  <c:v>-107.51950743721041</c:v>
                </c:pt>
                <c:pt idx="19" formatCode="0.00">
                  <c:v>-113.8441843452816</c:v>
                </c:pt>
                <c:pt idx="20" formatCode="0.00">
                  <c:v>-120.1688612533528</c:v>
                </c:pt>
                <c:pt idx="21" formatCode="0.00">
                  <c:v>-126.31255496531134</c:v>
                </c:pt>
                <c:pt idx="22" formatCode="0.00">
                  <c:v>-126.31255496531134</c:v>
                </c:pt>
              </c:numCache>
            </c:numRef>
          </c:xVal>
          <c:yVal>
            <c:numRef>
              <c:f>'Decks Calcs'!$C$12:$Y$12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1.0078522015742841</c:v>
                </c:pt>
                <c:pt idx="3">
                  <c:v>2.0595502345494539</c:v>
                </c:pt>
                <c:pt idx="4">
                  <c:v>3.086836101997847</c:v>
                </c:pt>
                <c:pt idx="5">
                  <c:v>3.9330761509517815</c:v>
                </c:pt>
                <c:pt idx="6">
                  <c:v>4.4887817787165218</c:v>
                </c:pt>
                <c:pt idx="7">
                  <c:v>5.160004850372256</c:v>
                </c:pt>
                <c:pt idx="8">
                  <c:v>5.7640656060524549</c:v>
                </c:pt>
                <c:pt idx="9">
                  <c:v>6.2835230006703853</c:v>
                </c:pt>
                <c:pt idx="10">
                  <c:v>6.6923948336949834</c:v>
                </c:pt>
                <c:pt idx="11">
                  <c:v>6.9668188127410229</c:v>
                </c:pt>
                <c:pt idx="12">
                  <c:v>7.0442645443874214</c:v>
                </c:pt>
                <c:pt idx="13">
                  <c:v>6.9677654601916093</c:v>
                </c:pt>
                <c:pt idx="14">
                  <c:v>6.7803590137793748</c:v>
                </c:pt>
                <c:pt idx="15">
                  <c:v>6.5004346897778627</c:v>
                </c:pt>
                <c:pt idx="16">
                  <c:v>6.2634333182368822</c:v>
                </c:pt>
                <c:pt idx="17">
                  <c:v>5.8566723903314513</c:v>
                </c:pt>
                <c:pt idx="18">
                  <c:v>5.3672528861959083</c:v>
                </c:pt>
                <c:pt idx="19">
                  <c:v>4.7278891375518182</c:v>
                </c:pt>
                <c:pt idx="20">
                  <c:v>3.4784594312051449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Decks!$P$21:$Q$21</c:f>
              <c:strCache>
                <c:ptCount val="1"/>
                <c:pt idx="0">
                  <c:v>1.5 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Calcs'!$C$3:$Y$3</c:f>
              <c:numCache>
                <c:formatCode>General</c:formatCode>
                <c:ptCount val="23"/>
                <c:pt idx="0" formatCode="0.00">
                  <c:v>0</c:v>
                </c:pt>
                <c:pt idx="1">
                  <c:v>0</c:v>
                </c:pt>
                <c:pt idx="2" formatCode="0.00">
                  <c:v>-6.3246769080712024</c:v>
                </c:pt>
                <c:pt idx="3" formatCode="0.00">
                  <c:v>-12.649353816142405</c:v>
                </c:pt>
                <c:pt idx="4" formatCode="0.00">
                  <c:v>-18.974030724213605</c:v>
                </c:pt>
                <c:pt idx="5" formatCode="0.00">
                  <c:v>-25.29870763228481</c:v>
                </c:pt>
                <c:pt idx="6" formatCode="0.00">
                  <c:v>-31.623384540356014</c:v>
                </c:pt>
                <c:pt idx="7" formatCode="0.00">
                  <c:v>-37.948061448427218</c:v>
                </c:pt>
                <c:pt idx="8" formatCode="0.00">
                  <c:v>-44.272738356498422</c:v>
                </c:pt>
                <c:pt idx="9" formatCode="0.00">
                  <c:v>-50.597415264569626</c:v>
                </c:pt>
                <c:pt idx="10" formatCode="0.00">
                  <c:v>-56.922092172640831</c:v>
                </c:pt>
                <c:pt idx="11" formatCode="0.00">
                  <c:v>-63.246769080712021</c:v>
                </c:pt>
                <c:pt idx="12" formatCode="0.00">
                  <c:v>-69.571445988783225</c:v>
                </c:pt>
                <c:pt idx="13" formatCode="0.00">
                  <c:v>-75.896122896854422</c:v>
                </c:pt>
                <c:pt idx="14" formatCode="0.00">
                  <c:v>-82.220799804925619</c:v>
                </c:pt>
                <c:pt idx="15" formatCode="0.00">
                  <c:v>-88.545476712996816</c:v>
                </c:pt>
                <c:pt idx="16" formatCode="0.00">
                  <c:v>-94.870153621068013</c:v>
                </c:pt>
                <c:pt idx="17" formatCode="0.00">
                  <c:v>-101.19483052913921</c:v>
                </c:pt>
                <c:pt idx="18" formatCode="0.00">
                  <c:v>-104.8706818559325</c:v>
                </c:pt>
                <c:pt idx="19" formatCode="0.00">
                  <c:v>-104.8706818559325</c:v>
                </c:pt>
                <c:pt idx="20" formatCode="0.00">
                  <c:v>-104.8706818559325</c:v>
                </c:pt>
                <c:pt idx="21" formatCode="0.00">
                  <c:v>-104.8706818559325</c:v>
                </c:pt>
                <c:pt idx="22" formatCode="0.00">
                  <c:v>-104.8706818559325</c:v>
                </c:pt>
              </c:numCache>
            </c:numRef>
          </c:xVal>
          <c:yVal>
            <c:numRef>
              <c:f>'Decks Calcs'!$C$11:$Y$11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0.16905413909984504</c:v>
                </c:pt>
                <c:pt idx="3">
                  <c:v>0.66797385517911279</c:v>
                </c:pt>
                <c:pt idx="4">
                  <c:v>1.3951362186852267</c:v>
                </c:pt>
                <c:pt idx="5">
                  <c:v>2.3878078048067595</c:v>
                </c:pt>
                <c:pt idx="6">
                  <c:v>3.322926079490947</c:v>
                </c:pt>
                <c:pt idx="7">
                  <c:v>4.02344305483936</c:v>
                </c:pt>
                <c:pt idx="8">
                  <c:v>4.6940450319914584</c:v>
                </c:pt>
                <c:pt idx="9">
                  <c:v>5.2800249895400979</c:v>
                </c:pt>
                <c:pt idx="10">
                  <c:v>5.6289500093689773</c:v>
                </c:pt>
                <c:pt idx="11">
                  <c:v>5.6933718772418453</c:v>
                </c:pt>
                <c:pt idx="12">
                  <c:v>5.4967240334825229</c:v>
                </c:pt>
                <c:pt idx="13">
                  <c:v>5.0727236492316639</c:v>
                </c:pt>
                <c:pt idx="14">
                  <c:v>4.4685713906513849</c:v>
                </c:pt>
                <c:pt idx="15">
                  <c:v>3.6904282192606428</c:v>
                </c:pt>
                <c:pt idx="16">
                  <c:v>2.3992569191468012</c:v>
                </c:pt>
                <c:pt idx="17">
                  <c:v>0.90513436105136535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</c:ser>
        <c:ser>
          <c:idx val="8"/>
          <c:order val="6"/>
          <c:tx>
            <c:v>Cwl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'Cxx Selected'!$G$77:$G$97</c:f>
              <c:numCache>
                <c:formatCode>General</c:formatCode>
                <c:ptCount val="21"/>
                <c:pt idx="0">
                  <c:v>-126.49353816142404</c:v>
                </c:pt>
                <c:pt idx="1">
                  <c:v>-120.16886125335283</c:v>
                </c:pt>
                <c:pt idx="2">
                  <c:v>-113.84418434528163</c:v>
                </c:pt>
                <c:pt idx="3">
                  <c:v>-107.51950743721044</c:v>
                </c:pt>
                <c:pt idx="4">
                  <c:v>-101.19483052913924</c:v>
                </c:pt>
                <c:pt idx="5">
                  <c:v>-94.870153621068027</c:v>
                </c:pt>
                <c:pt idx="6">
                  <c:v>-88.54547671299683</c:v>
                </c:pt>
                <c:pt idx="7">
                  <c:v>-82.220799804925633</c:v>
                </c:pt>
                <c:pt idx="8">
                  <c:v>-75.896122896854422</c:v>
                </c:pt>
                <c:pt idx="9">
                  <c:v>-69.571445988783225</c:v>
                </c:pt>
                <c:pt idx="10">
                  <c:v>-63.246769080712021</c:v>
                </c:pt>
                <c:pt idx="11">
                  <c:v>-56.922092172640816</c:v>
                </c:pt>
                <c:pt idx="12">
                  <c:v>-50.597415264569619</c:v>
                </c:pt>
                <c:pt idx="13">
                  <c:v>-44.272738356498415</c:v>
                </c:pt>
                <c:pt idx="14">
                  <c:v>-37.948061448427218</c:v>
                </c:pt>
                <c:pt idx="15">
                  <c:v>-31.62338454035601</c:v>
                </c:pt>
                <c:pt idx="16">
                  <c:v>-25.298707632284803</c:v>
                </c:pt>
                <c:pt idx="17">
                  <c:v>-18.974030724213609</c:v>
                </c:pt>
                <c:pt idx="18">
                  <c:v>-12.649353816142401</c:v>
                </c:pt>
                <c:pt idx="19">
                  <c:v>-6.3246769080712077</c:v>
                </c:pt>
                <c:pt idx="20">
                  <c:v>0</c:v>
                </c:pt>
              </c:numCache>
            </c:numRef>
          </c:xVal>
          <c:yVal>
            <c:numRef>
              <c:f>'Cxx Selected'!$I$77:$I$97</c:f>
              <c:numCache>
                <c:formatCode>General</c:formatCode>
                <c:ptCount val="21"/>
                <c:pt idx="0">
                  <c:v>4.4660287061590669</c:v>
                </c:pt>
                <c:pt idx="1">
                  <c:v>5.0520165504816692</c:v>
                </c:pt>
                <c:pt idx="2">
                  <c:v>5.485887886725366</c:v>
                </c:pt>
                <c:pt idx="3">
                  <c:v>5.8234128409627273</c:v>
                </c:pt>
                <c:pt idx="4">
                  <c:v>6.1034697471709709</c:v>
                </c:pt>
                <c:pt idx="5">
                  <c:v>6.3498650259026252</c:v>
                </c:pt>
                <c:pt idx="6">
                  <c:v>6.5732243669038697</c:v>
                </c:pt>
                <c:pt idx="7">
                  <c:v>6.7729552156805415</c:v>
                </c:pt>
                <c:pt idx="8">
                  <c:v>6.9392805640117983</c:v>
                </c:pt>
                <c:pt idx="9">
                  <c:v>7.0553440444114681</c:v>
                </c:pt>
                <c:pt idx="10">
                  <c:v>7.0993863285370473</c:v>
                </c:pt>
                <c:pt idx="11">
                  <c:v>7.0469928295463804</c:v>
                </c:pt>
                <c:pt idx="12">
                  <c:v>6.8734127084019896</c:v>
                </c:pt>
                <c:pt idx="13">
                  <c:v>6.5559491841231248</c:v>
                </c:pt>
                <c:pt idx="14">
                  <c:v>6.0764211479853589</c:v>
                </c:pt>
                <c:pt idx="15">
                  <c:v>5.42369608166804</c:v>
                </c:pt>
                <c:pt idx="16">
                  <c:v>4.5962942793492143</c:v>
                </c:pt>
                <c:pt idx="17">
                  <c:v>3.6050643737483692</c:v>
                </c:pt>
                <c:pt idx="18">
                  <c:v>2.4759301661166968</c:v>
                </c:pt>
                <c:pt idx="19">
                  <c:v>1.2527087601752269</c:v>
                </c:pt>
                <c:pt idx="20">
                  <c:v>4.2877547764825097E-13</c:v>
                </c:pt>
              </c:numCache>
            </c:numRef>
          </c:yVal>
          <c:smooth val="1"/>
        </c:ser>
        <c:ser>
          <c:idx val="11"/>
          <c:order val="7"/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Calcs'!$AD$8:$AE$8</c:f>
              <c:numCache>
                <c:formatCode>0.00</c:formatCode>
                <c:ptCount val="2"/>
                <c:pt idx="0">
                  <c:v>-127.36709673652281</c:v>
                </c:pt>
                <c:pt idx="1">
                  <c:v>-127.36709673652281</c:v>
                </c:pt>
              </c:numCache>
            </c:numRef>
          </c:xVal>
          <c:yVal>
            <c:numRef>
              <c:f>'Decks Calcs'!$Y$16:$Z$16</c:f>
              <c:numCache>
                <c:formatCode>0.00</c:formatCode>
                <c:ptCount val="2"/>
                <c:pt idx="0">
                  <c:v>4.3459338202478976</c:v>
                </c:pt>
                <c:pt idx="1">
                  <c:v>0</c:v>
                </c:pt>
              </c:numCache>
            </c:numRef>
          </c:yVal>
          <c:smooth val="1"/>
        </c:ser>
        <c:ser>
          <c:idx val="12"/>
          <c:order val="8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Calcs'!$AD$7:$AE$7</c:f>
              <c:numCache>
                <c:formatCode>0.00</c:formatCode>
                <c:ptCount val="2"/>
                <c:pt idx="0">
                  <c:v>-127.47337501735782</c:v>
                </c:pt>
                <c:pt idx="1">
                  <c:v>-127.47337501735782</c:v>
                </c:pt>
              </c:numCache>
            </c:numRef>
          </c:xVal>
          <c:yVal>
            <c:numRef>
              <c:f>'Decks Calcs'!$Y$15:$Z$15</c:f>
              <c:numCache>
                <c:formatCode>0.00</c:formatCode>
                <c:ptCount val="2"/>
                <c:pt idx="0">
                  <c:v>4.2528729598787267</c:v>
                </c:pt>
                <c:pt idx="1">
                  <c:v>0</c:v>
                </c:pt>
              </c:numCache>
            </c:numRef>
          </c:yVal>
          <c:smooth val="1"/>
        </c:ser>
        <c:ser>
          <c:idx val="13"/>
          <c:order val="9"/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Calcs'!$AD$6:$AE$6</c:f>
              <c:numCache>
                <c:formatCode>0.00</c:formatCode>
                <c:ptCount val="2"/>
                <c:pt idx="0">
                  <c:v>-127.37533777366144</c:v>
                </c:pt>
                <c:pt idx="1">
                  <c:v>-127.37533777366144</c:v>
                </c:pt>
              </c:numCache>
            </c:numRef>
          </c:xVal>
          <c:yVal>
            <c:numRef>
              <c:f>'Decks Calcs'!$Y$14:$Z$14</c:f>
              <c:numCache>
                <c:formatCode>0.00</c:formatCode>
                <c:ptCount val="2"/>
                <c:pt idx="0">
                  <c:v>4.3431379970981236</c:v>
                </c:pt>
                <c:pt idx="1">
                  <c:v>0</c:v>
                </c:pt>
              </c:numCache>
            </c:numRef>
          </c:yVal>
          <c:smooth val="1"/>
        </c:ser>
        <c:ser>
          <c:idx val="14"/>
          <c:order val="10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Calcs'!$AD$5:$AE$5</c:f>
              <c:numCache>
                <c:formatCode>0.00</c:formatCode>
                <c:ptCount val="2"/>
                <c:pt idx="0">
                  <c:v>-126.8439463694864</c:v>
                </c:pt>
                <c:pt idx="1">
                  <c:v>-126.8439463694864</c:v>
                </c:pt>
              </c:numCache>
            </c:numRef>
          </c:xVal>
          <c:yVal>
            <c:numRef>
              <c:f>'Decks Calcs'!$Y$13:$Z$13</c:f>
              <c:numCache>
                <c:formatCode>0.00</c:formatCode>
                <c:ptCount val="2"/>
                <c:pt idx="0">
                  <c:v>4.4193574507827282</c:v>
                </c:pt>
                <c:pt idx="1">
                  <c:v>0</c:v>
                </c:pt>
              </c:numCache>
            </c:numRef>
          </c:yVal>
          <c:smooth val="1"/>
        </c:ser>
        <c:ser>
          <c:idx val="15"/>
          <c:order val="11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'Decks Calcs'!$AD$4:$AE$4</c:f>
              <c:numCache>
                <c:formatCode>0.00</c:formatCode>
                <c:ptCount val="2"/>
                <c:pt idx="0">
                  <c:v>-126.31255496531134</c:v>
                </c:pt>
                <c:pt idx="1">
                  <c:v>-126.31255496531134</c:v>
                </c:pt>
              </c:numCache>
            </c:numRef>
          </c:xVal>
          <c:yVal>
            <c:numRef>
              <c:f>'Decks Calcs'!$Y$12:$Z$12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ser>
          <c:idx val="16"/>
          <c:order val="12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Calcs'!$AD$3:$AE$3</c:f>
              <c:numCache>
                <c:formatCode>0.00</c:formatCode>
                <c:ptCount val="2"/>
                <c:pt idx="0">
                  <c:v>-104.8706818559325</c:v>
                </c:pt>
                <c:pt idx="1">
                  <c:v>-104.8706818559325</c:v>
                </c:pt>
              </c:numCache>
            </c:numRef>
          </c:xVal>
          <c:yVal>
            <c:numRef>
              <c:f>'Decks Calcs'!$Y$11:$Z$11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</c:ser>
        <c:ser>
          <c:idx val="6"/>
          <c:order val="13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'[2]Cwl Calcs'!$K$25:$K$26</c:f>
              <c:numCache>
                <c:formatCode>General</c:formatCode>
                <c:ptCount val="2"/>
                <c:pt idx="0">
                  <c:v>-120</c:v>
                </c:pt>
                <c:pt idx="1">
                  <c:v>-120</c:v>
                </c:pt>
              </c:numCache>
            </c:numRef>
          </c:xVal>
          <c:yVal>
            <c:numRef>
              <c:f>'[2]Cwl Calcs'!$L$25:$L$26</c:f>
              <c:numCache>
                <c:formatCode>General</c:formatCode>
                <c:ptCount val="2"/>
                <c:pt idx="0">
                  <c:v>0</c:v>
                </c:pt>
                <c:pt idx="1">
                  <c:v>4.2632099999999999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31232"/>
        <c:axId val="145237120"/>
      </c:scatterChart>
      <c:valAx>
        <c:axId val="145231232"/>
        <c:scaling>
          <c:orientation val="minMax"/>
        </c:scaling>
        <c:delete val="0"/>
        <c:axPos val="b"/>
        <c:majorGridlines/>
        <c:minorGridlines>
          <c:spPr>
            <a:ln>
              <a:prstDash val="dash"/>
            </a:ln>
          </c:spPr>
        </c:minorGridlines>
        <c:numFmt formatCode="0" sourceLinked="0"/>
        <c:majorTickMark val="out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237120"/>
        <c:crosses val="autoZero"/>
        <c:crossBetween val="midCat"/>
        <c:majorUnit val="25"/>
        <c:minorUnit val="5"/>
      </c:valAx>
      <c:valAx>
        <c:axId val="145237120"/>
        <c:scaling>
          <c:orientation val="minMax"/>
          <c:min val="0"/>
        </c:scaling>
        <c:delete val="0"/>
        <c:axPos val="r"/>
        <c:majorGridlines/>
        <c:minorGridlines>
          <c:spPr>
            <a:ln>
              <a:prstDash val="dash"/>
            </a:ln>
          </c:spPr>
        </c:minorGridlines>
        <c:numFmt formatCode="General" sourceLinked="0"/>
        <c:majorTickMark val="out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231232"/>
        <c:crosses val="max"/>
        <c:crossBetween val="midCat"/>
      </c:valAx>
      <c:spPr>
        <a:ln w="19050">
          <a:solidFill>
            <a:srgbClr val="1F497D">
              <a:lumMod val="75000"/>
            </a:srgbClr>
          </a:solidFill>
        </a:ln>
      </c:spPr>
    </c:plotArea>
    <c:legend>
      <c:legendPos val="r"/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94141193535018641"/>
          <c:y val="4.4444280913483944E-2"/>
          <c:w val="5.8588064649813511E-2"/>
          <c:h val="0.8411273824416806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Hull Profile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3998129849989E-2"/>
          <c:y val="0.22263258759321752"/>
          <c:w val="0.89798625066758375"/>
          <c:h val="0.58132691746864973"/>
        </c:manualLayout>
      </c:layout>
      <c:scatterChart>
        <c:scatterStyle val="lineMarker"/>
        <c:varyColors val="0"/>
        <c:ser>
          <c:idx val="9"/>
          <c:order val="0"/>
          <c:tx>
            <c:strRef>
              <c:f>Decks!$P$26:$Q$26</c:f>
              <c:strCache>
                <c:ptCount val="1"/>
                <c:pt idx="0">
                  <c:v>8.961228969 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Calcs'!$Y$8:$Z$8</c:f>
              <c:numCache>
                <c:formatCode>0.00</c:formatCode>
                <c:ptCount val="2"/>
                <c:pt idx="0">
                  <c:v>-127.36709673652281</c:v>
                </c:pt>
                <c:pt idx="1">
                  <c:v>0</c:v>
                </c:pt>
              </c:numCache>
            </c:numRef>
          </c:xVal>
          <c:yVal>
            <c:numRef>
              <c:f>'Decks Calcs'!$AB$8:$AC$8</c:f>
              <c:numCache>
                <c:formatCode>General</c:formatCode>
                <c:ptCount val="2"/>
                <c:pt idx="0">
                  <c:v>8.9612289685442565</c:v>
                </c:pt>
                <c:pt idx="1">
                  <c:v>8.9612289685442565</c:v>
                </c:pt>
              </c:numCache>
            </c:numRef>
          </c:yVal>
          <c:smooth val="0"/>
        </c:ser>
        <c:ser>
          <c:idx val="8"/>
          <c:order val="1"/>
          <c:tx>
            <c:strRef>
              <c:f>Decks!$P$25:$Q$25</c:f>
              <c:strCache>
                <c:ptCount val="1"/>
                <c:pt idx="0">
                  <c:v>11.5 m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Calcs'!$Y$7:$Z$7</c:f>
              <c:numCache>
                <c:formatCode>0.00</c:formatCode>
                <c:ptCount val="2"/>
                <c:pt idx="0">
                  <c:v>-127.47337501735782</c:v>
                </c:pt>
                <c:pt idx="1">
                  <c:v>0</c:v>
                </c:pt>
              </c:numCache>
            </c:numRef>
          </c:xVal>
          <c:yVal>
            <c:numRef>
              <c:f>'Decks Calcs'!$AB$7:$AC$7</c:f>
              <c:numCache>
                <c:formatCode>General</c:formatCode>
                <c:ptCount val="2"/>
                <c:pt idx="0">
                  <c:v>11.5</c:v>
                </c:pt>
                <c:pt idx="1">
                  <c:v>11.5</c:v>
                </c:pt>
              </c:numCache>
            </c:numRef>
          </c:yVal>
          <c:smooth val="0"/>
        </c:ser>
        <c:ser>
          <c:idx val="7"/>
          <c:order val="2"/>
          <c:tx>
            <c:strRef>
              <c:f>Decks!$P$24:$Q$24</c:f>
              <c:strCache>
                <c:ptCount val="1"/>
                <c:pt idx="0">
                  <c:v>9 m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Calcs'!$Y$6:$Z$6</c:f>
              <c:numCache>
                <c:formatCode>0.00</c:formatCode>
                <c:ptCount val="2"/>
                <c:pt idx="0">
                  <c:v>-127.37533777366144</c:v>
                </c:pt>
                <c:pt idx="1">
                  <c:v>0</c:v>
                </c:pt>
              </c:numCache>
            </c:numRef>
          </c:xVal>
          <c:yVal>
            <c:numRef>
              <c:f>'Decks Calcs'!$AB$6:$AC$6</c:f>
              <c:numCache>
                <c:formatCode>General</c:formatCode>
                <c:ptCount val="2"/>
                <c:pt idx="0">
                  <c:v>9</c:v>
                </c:pt>
                <c:pt idx="1">
                  <c:v>9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Decks!$P$23:$Q$23</c:f>
              <c:strCache>
                <c:ptCount val="1"/>
                <c:pt idx="0">
                  <c:v>6.5 m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Calcs'!$Y$5:$Z$5</c:f>
              <c:numCache>
                <c:formatCode>0.00</c:formatCode>
                <c:ptCount val="2"/>
                <c:pt idx="0">
                  <c:v>-126.8439463694864</c:v>
                </c:pt>
                <c:pt idx="1">
                  <c:v>0</c:v>
                </c:pt>
              </c:numCache>
            </c:numRef>
          </c:xVal>
          <c:yVal>
            <c:numRef>
              <c:f>'Decks Calcs'!$AB$5:$AC$5</c:f>
              <c:numCache>
                <c:formatCode>General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Decks!$P$22:$Q$22</c:f>
              <c:strCache>
                <c:ptCount val="1"/>
                <c:pt idx="0">
                  <c:v>4 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FC000"/>
                </a:solidFill>
              </a:ln>
            </c:spPr>
          </c:dPt>
          <c:xVal>
            <c:numRef>
              <c:f>'Decks Calcs'!$Y$4:$Z$4</c:f>
              <c:numCache>
                <c:formatCode>0.00</c:formatCode>
                <c:ptCount val="2"/>
                <c:pt idx="0">
                  <c:v>-126.31255496531134</c:v>
                </c:pt>
                <c:pt idx="1">
                  <c:v>0</c:v>
                </c:pt>
              </c:numCache>
            </c:numRef>
          </c:xVal>
          <c:yVal>
            <c:numRef>
              <c:f>'Decks Calcs'!$AB$4:$AC$4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yVal>
          <c:smooth val="0"/>
        </c:ser>
        <c:ser>
          <c:idx val="0"/>
          <c:order val="5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-63.246769080712021</c:v>
                </c:pt>
                <c:pt idx="1">
                  <c:v>-56.413057398900058</c:v>
                </c:pt>
                <c:pt idx="2">
                  <c:v>-49.579345717088096</c:v>
                </c:pt>
                <c:pt idx="3">
                  <c:v>-42.745634035276133</c:v>
                </c:pt>
                <c:pt idx="4">
                  <c:v>-35.91192235346417</c:v>
                </c:pt>
                <c:pt idx="5">
                  <c:v>-29.078210671652208</c:v>
                </c:pt>
                <c:pt idx="6">
                  <c:v>-22.244498989840245</c:v>
                </c:pt>
                <c:pt idx="7">
                  <c:v>-15.410787308028283</c:v>
                </c:pt>
                <c:pt idx="8">
                  <c:v>-8.5770756262163204</c:v>
                </c:pt>
                <c:pt idx="9">
                  <c:v>-1.7433639444043578</c:v>
                </c:pt>
                <c:pt idx="10">
                  <c:v>5.0903477374075976</c:v>
                </c:pt>
                <c:pt idx="11">
                  <c:v>0</c:v>
                </c:pt>
                <c:pt idx="12" formatCode="0.00">
                  <c:v>-1.1323427195776656</c:v>
                </c:pt>
                <c:pt idx="13" formatCode="0.00">
                  <c:v>-2.2646854391553313</c:v>
                </c:pt>
                <c:pt idx="14" formatCode="0.00">
                  <c:v>-3.3970281587329967</c:v>
                </c:pt>
                <c:pt idx="15" formatCode="0.00">
                  <c:v>-23.718351707221874</c:v>
                </c:pt>
                <c:pt idx="16" formatCode="0.00">
                  <c:v>-47.436703414443748</c:v>
                </c:pt>
                <c:pt idx="17" formatCode="0.00">
                  <c:v>-74.55208328039862</c:v>
                </c:pt>
                <c:pt idx="18" formatCode="0.00">
                  <c:v>-83.119452093876717</c:v>
                </c:pt>
                <c:pt idx="19" formatCode="0.00">
                  <c:v>-91.679832335183647</c:v>
                </c:pt>
                <c:pt idx="20" formatCode="0.00">
                  <c:v>-100.22624113286477</c:v>
                </c:pt>
                <c:pt idx="21" formatCode="0.00">
                  <c:v>-108.75170701224835</c:v>
                </c:pt>
                <c:pt idx="22" formatCode="0.00">
                  <c:v>-126.3061894202522</c:v>
                </c:pt>
                <c:pt idx="23">
                  <c:v>-126.49353816142404</c:v>
                </c:pt>
                <c:pt idx="24" formatCode="0.00">
                  <c:v>-127.47337501735782</c:v>
                </c:pt>
                <c:pt idx="25" formatCode="0.000">
                  <c:v>-121.05071442369319</c:v>
                </c:pt>
                <c:pt idx="26" formatCode="0.000">
                  <c:v>-114.62805383002862</c:v>
                </c:pt>
                <c:pt idx="27" formatCode="0.000">
                  <c:v>-108.20539323636405</c:v>
                </c:pt>
                <c:pt idx="28" formatCode="0.000">
                  <c:v>-101.78273264269947</c:v>
                </c:pt>
                <c:pt idx="29" formatCode="0.000">
                  <c:v>-95.360072049034898</c:v>
                </c:pt>
                <c:pt idx="30" formatCode="0.000">
                  <c:v>-88.937411455370324</c:v>
                </c:pt>
                <c:pt idx="31" formatCode="0.000">
                  <c:v>-82.51475086170575</c:v>
                </c:pt>
                <c:pt idx="32" formatCode="0.000">
                  <c:v>-76.092090268041176</c:v>
                </c:pt>
                <c:pt idx="33" formatCode="0.000">
                  <c:v>-69.669429674376602</c:v>
                </c:pt>
                <c:pt idx="34">
                  <c:v>-63.246769080712021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8.9612289685442565</c:v>
                </c:pt>
                <c:pt idx="1">
                  <c:v>8.992473468544258</c:v>
                </c:pt>
                <c:pt idx="2">
                  <c:v>9.0869969685442573</c:v>
                </c:pt>
                <c:pt idx="3">
                  <c:v>9.244799468544258</c:v>
                </c:pt>
                <c:pt idx="4">
                  <c:v>9.4658809685442566</c:v>
                </c:pt>
                <c:pt idx="5">
                  <c:v>9.7502414685442567</c:v>
                </c:pt>
                <c:pt idx="6">
                  <c:v>10.097880968544258</c:v>
                </c:pt>
                <c:pt idx="7">
                  <c:v>10.508799468544256</c:v>
                </c:pt>
                <c:pt idx="8">
                  <c:v>10.982996968544258</c:v>
                </c:pt>
                <c:pt idx="9">
                  <c:v>11.520473468544258</c:v>
                </c:pt>
                <c:pt idx="10">
                  <c:v>12.121228968544258</c:v>
                </c:pt>
                <c:pt idx="11">
                  <c:v>4.8514589937413639</c:v>
                </c:pt>
                <c:pt idx="12">
                  <c:v>3.2343059958275759</c:v>
                </c:pt>
                <c:pt idx="13">
                  <c:v>1.617152997913788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0.12235796643017238</c:v>
                </c:pt>
                <c:pt idx="19">
                  <c:v>0.48933205590770967</c:v>
                </c:pt>
                <c:pt idx="20">
                  <c:v>1.1006229204104443</c:v>
                </c:pt>
                <c:pt idx="21">
                  <c:v>1.9557319178912849</c:v>
                </c:pt>
                <c:pt idx="22">
                  <c:v>3.9700524650514581</c:v>
                </c:pt>
                <c:pt idx="23">
                  <c:v>4.8514589937413639</c:v>
                </c:pt>
                <c:pt idx="24">
                  <c:v>9.4612289685442565</c:v>
                </c:pt>
                <c:pt idx="25">
                  <c:v>9.4112289685442629</c:v>
                </c:pt>
                <c:pt idx="26">
                  <c:v>9.3612289685442622</c:v>
                </c:pt>
                <c:pt idx="27">
                  <c:v>9.3112289685442615</c:v>
                </c:pt>
                <c:pt idx="28">
                  <c:v>9.2612289685442608</c:v>
                </c:pt>
                <c:pt idx="29">
                  <c:v>9.2112289685442601</c:v>
                </c:pt>
                <c:pt idx="30">
                  <c:v>9.1612289685442594</c:v>
                </c:pt>
                <c:pt idx="31">
                  <c:v>9.1112289685442587</c:v>
                </c:pt>
                <c:pt idx="32">
                  <c:v>9.061228968544258</c:v>
                </c:pt>
                <c:pt idx="33">
                  <c:v>9.0112289685442573</c:v>
                </c:pt>
                <c:pt idx="34">
                  <c:v>8.9612289685442565</c:v>
                </c:pt>
              </c:numCache>
            </c:numRef>
          </c:yVal>
          <c:smooth val="0"/>
        </c:ser>
        <c:ser>
          <c:idx val="1"/>
          <c:order val="6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-126.49353816142404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4.8514589937413639</c:v>
                </c:pt>
                <c:pt idx="1">
                  <c:v>4.8514589937413639</c:v>
                </c:pt>
              </c:numCache>
            </c:numRef>
          </c:yVal>
          <c:smooth val="0"/>
        </c:ser>
        <c:ser>
          <c:idx val="3"/>
          <c:order val="7"/>
          <c:tx>
            <c:v>Sonar</c:v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Lit>
              <c:formatCode>0.00</c:formatCode>
              <c:ptCount val="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xVal>
          <c:yVal>
            <c:numLit>
              <c:formatCode>0.00</c:formatCode>
              <c:ptCount val="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yVal>
          <c:smooth val="0"/>
        </c:ser>
        <c:ser>
          <c:idx val="4"/>
          <c:order val="8"/>
          <c:tx>
            <c:strRef>
              <c:f>Decks!$P$21:$Q$21</c:f>
              <c:strCache>
                <c:ptCount val="1"/>
                <c:pt idx="0">
                  <c:v>1.5 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Calcs'!$Y$3:$Z$3</c:f>
              <c:numCache>
                <c:formatCode>0.00</c:formatCode>
                <c:ptCount val="2"/>
                <c:pt idx="0">
                  <c:v>-104.8706818559325</c:v>
                </c:pt>
                <c:pt idx="1">
                  <c:v>0</c:v>
                </c:pt>
              </c:numCache>
            </c:numRef>
          </c:xVal>
          <c:yVal>
            <c:numRef>
              <c:f>'Decks Calcs'!$AB$3:$AC$3</c:f>
              <c:numCache>
                <c:formatCode>General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376000"/>
        <c:axId val="145377536"/>
      </c:scatterChart>
      <c:valAx>
        <c:axId val="145376000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377536"/>
        <c:crossesAt val="-250"/>
        <c:crossBetween val="midCat"/>
        <c:majorUnit val="25"/>
      </c:valAx>
      <c:valAx>
        <c:axId val="145377536"/>
        <c:scaling>
          <c:orientation val="minMax"/>
          <c:min val="-5"/>
        </c:scaling>
        <c:delete val="0"/>
        <c:axPos val="r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376000"/>
        <c:crosses val="max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94354261638347847"/>
          <c:y val="3.8359788359788358E-2"/>
          <c:w val="4.86192153612377E-2"/>
          <c:h val="0.9097379494229888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Freeboard &amp; Flare Check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39408108164206E-2"/>
          <c:y val="9.2985318107667206E-2"/>
          <c:w val="0.86674836005355238"/>
          <c:h val="0.78466557911908663"/>
        </c:manualLayout>
      </c:layout>
      <c:scatterChart>
        <c:scatterStyle val="smoothMarker"/>
        <c:varyColors val="0"/>
        <c:ser>
          <c:idx val="0"/>
          <c:order val="0"/>
          <c:tx>
            <c:v>Design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</c:spPr>
          </c:marker>
          <c:dLbls>
            <c:delete val="1"/>
          </c:dLbls>
          <c:xVal>
            <c:numRef>
              <c:f>'Fbd Calcs'!$B$2</c:f>
              <c:numCache>
                <c:formatCode>General</c:formatCode>
                <c:ptCount val="1"/>
                <c:pt idx="0">
                  <c:v>126.49353816142404</c:v>
                </c:pt>
              </c:numCache>
            </c:numRef>
          </c:xVal>
          <c:yVal>
            <c:numRef>
              <c:f>'Fbd Calcs'!$C$16</c:f>
              <c:numCache>
                <c:formatCode>0.00</c:formatCode>
                <c:ptCount val="1"/>
                <c:pt idx="0">
                  <c:v>11.106997639199751</c:v>
                </c:pt>
              </c:numCache>
            </c:numRef>
          </c:yVal>
          <c:smooth val="1"/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145451648"/>
        <c:axId val="145454208"/>
      </c:scatterChart>
      <c:valAx>
        <c:axId val="145451648"/>
        <c:scaling>
          <c:orientation val="minMax"/>
          <c:max val="2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LBP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454208"/>
        <c:crosses val="autoZero"/>
        <c:crossBetween val="midCat"/>
      </c:valAx>
      <c:valAx>
        <c:axId val="145454208"/>
        <c:scaling>
          <c:orientation val="minMax"/>
          <c:max val="20"/>
          <c:min val="8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100 * ( A + B + C ) / Lwl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crossAx val="145451648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solidFill>
            <a:schemeClr val="tx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803548587723114"/>
          <c:y val="0.33442083890457092"/>
          <c:w val="9.3229754626424355E-2"/>
          <c:h val="3.9151686227900773E-2"/>
        </c:manualLayout>
      </c:layout>
      <c:overlay val="0"/>
      <c:spPr>
        <a:solidFill>
          <a:schemeClr val="bg1"/>
        </a:solidFill>
        <a:ln>
          <a:solidFill>
            <a:srgbClr val="1F497D">
              <a:lumMod val="50000"/>
            </a:srgbClr>
          </a:solidFill>
        </a:ln>
      </c:spPr>
      <c:txPr>
        <a:bodyPr/>
        <a:lstStyle/>
        <a:p>
          <a:pPr>
            <a:defRPr sz="10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581119411606474E-2"/>
          <c:y val="0.26339630081451088"/>
          <c:w val="0.9318684354881368"/>
          <c:h val="0.35748770840265026"/>
        </c:manualLayout>
      </c:layout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-63.246769080712021</c:v>
                </c:pt>
                <c:pt idx="1">
                  <c:v>-56.413057398900058</c:v>
                </c:pt>
                <c:pt idx="2">
                  <c:v>-49.579345717088096</c:v>
                </c:pt>
                <c:pt idx="3">
                  <c:v>-42.745634035276133</c:v>
                </c:pt>
                <c:pt idx="4">
                  <c:v>-35.91192235346417</c:v>
                </c:pt>
                <c:pt idx="5">
                  <c:v>-29.078210671652208</c:v>
                </c:pt>
                <c:pt idx="6">
                  <c:v>-22.244498989840245</c:v>
                </c:pt>
                <c:pt idx="7">
                  <c:v>-15.410787308028283</c:v>
                </c:pt>
                <c:pt idx="8">
                  <c:v>-8.5770756262163204</c:v>
                </c:pt>
                <c:pt idx="9">
                  <c:v>-1.7433639444043578</c:v>
                </c:pt>
                <c:pt idx="10">
                  <c:v>5.0903477374075976</c:v>
                </c:pt>
                <c:pt idx="11">
                  <c:v>0</c:v>
                </c:pt>
                <c:pt idx="12" formatCode="0.00">
                  <c:v>-1.1323427195776656</c:v>
                </c:pt>
                <c:pt idx="13" formatCode="0.00">
                  <c:v>-2.2646854391553313</c:v>
                </c:pt>
                <c:pt idx="14" formatCode="0.00">
                  <c:v>-3.3970281587329967</c:v>
                </c:pt>
                <c:pt idx="15" formatCode="0.00">
                  <c:v>-23.718351707221874</c:v>
                </c:pt>
                <c:pt idx="16" formatCode="0.00">
                  <c:v>-47.436703414443748</c:v>
                </c:pt>
                <c:pt idx="17" formatCode="0.00">
                  <c:v>-74.55208328039862</c:v>
                </c:pt>
                <c:pt idx="18" formatCode="0.00">
                  <c:v>-83.119452093876717</c:v>
                </c:pt>
                <c:pt idx="19" formatCode="0.00">
                  <c:v>-91.679832335183647</c:v>
                </c:pt>
                <c:pt idx="20" formatCode="0.00">
                  <c:v>-100.22624113286477</c:v>
                </c:pt>
                <c:pt idx="21" formatCode="0.00">
                  <c:v>-108.75170701224835</c:v>
                </c:pt>
                <c:pt idx="22" formatCode="0.00">
                  <c:v>-126.3061894202522</c:v>
                </c:pt>
                <c:pt idx="23">
                  <c:v>-126.49353816142404</c:v>
                </c:pt>
                <c:pt idx="24" formatCode="0.00">
                  <c:v>-127.47337501735782</c:v>
                </c:pt>
                <c:pt idx="25" formatCode="0.000">
                  <c:v>-121.05071442369319</c:v>
                </c:pt>
                <c:pt idx="26" formatCode="0.000">
                  <c:v>-114.62805383002862</c:v>
                </c:pt>
                <c:pt idx="27" formatCode="0.000">
                  <c:v>-108.20539323636405</c:v>
                </c:pt>
                <c:pt idx="28" formatCode="0.000">
                  <c:v>-101.78273264269947</c:v>
                </c:pt>
                <c:pt idx="29" formatCode="0.000">
                  <c:v>-95.360072049034898</c:v>
                </c:pt>
                <c:pt idx="30" formatCode="0.000">
                  <c:v>-88.937411455370324</c:v>
                </c:pt>
                <c:pt idx="31" formatCode="0.000">
                  <c:v>-82.51475086170575</c:v>
                </c:pt>
                <c:pt idx="32" formatCode="0.000">
                  <c:v>-76.092090268041176</c:v>
                </c:pt>
                <c:pt idx="33" formatCode="0.000">
                  <c:v>-69.669429674376602</c:v>
                </c:pt>
                <c:pt idx="34">
                  <c:v>-63.246769080712021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8.9612289685442565</c:v>
                </c:pt>
                <c:pt idx="1">
                  <c:v>8.992473468544258</c:v>
                </c:pt>
                <c:pt idx="2">
                  <c:v>9.0869969685442573</c:v>
                </c:pt>
                <c:pt idx="3">
                  <c:v>9.244799468544258</c:v>
                </c:pt>
                <c:pt idx="4">
                  <c:v>9.4658809685442566</c:v>
                </c:pt>
                <c:pt idx="5">
                  <c:v>9.7502414685442567</c:v>
                </c:pt>
                <c:pt idx="6">
                  <c:v>10.097880968544258</c:v>
                </c:pt>
                <c:pt idx="7">
                  <c:v>10.508799468544256</c:v>
                </c:pt>
                <c:pt idx="8">
                  <c:v>10.982996968544258</c:v>
                </c:pt>
                <c:pt idx="9">
                  <c:v>11.520473468544258</c:v>
                </c:pt>
                <c:pt idx="10">
                  <c:v>12.121228968544258</c:v>
                </c:pt>
                <c:pt idx="11">
                  <c:v>4.8514589937413639</c:v>
                </c:pt>
                <c:pt idx="12">
                  <c:v>3.2343059958275759</c:v>
                </c:pt>
                <c:pt idx="13">
                  <c:v>1.617152997913788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0.12235796643017238</c:v>
                </c:pt>
                <c:pt idx="19">
                  <c:v>0.48933205590770967</c:v>
                </c:pt>
                <c:pt idx="20">
                  <c:v>1.1006229204104443</c:v>
                </c:pt>
                <c:pt idx="21">
                  <c:v>1.9557319178912849</c:v>
                </c:pt>
                <c:pt idx="22">
                  <c:v>3.9700524650514581</c:v>
                </c:pt>
                <c:pt idx="23">
                  <c:v>4.8514589937413639</c:v>
                </c:pt>
                <c:pt idx="24">
                  <c:v>9.4612289685442565</c:v>
                </c:pt>
                <c:pt idx="25">
                  <c:v>9.4112289685442629</c:v>
                </c:pt>
                <c:pt idx="26">
                  <c:v>9.3612289685442622</c:v>
                </c:pt>
                <c:pt idx="27">
                  <c:v>9.3112289685442615</c:v>
                </c:pt>
                <c:pt idx="28">
                  <c:v>9.2612289685442608</c:v>
                </c:pt>
                <c:pt idx="29">
                  <c:v>9.2112289685442601</c:v>
                </c:pt>
                <c:pt idx="30">
                  <c:v>9.1612289685442594</c:v>
                </c:pt>
                <c:pt idx="31">
                  <c:v>9.1112289685442587</c:v>
                </c:pt>
                <c:pt idx="32">
                  <c:v>9.061228968544258</c:v>
                </c:pt>
                <c:pt idx="33">
                  <c:v>9.0112289685442573</c:v>
                </c:pt>
                <c:pt idx="34">
                  <c:v>8.9612289685442565</c:v>
                </c:pt>
              </c:numCache>
            </c:numRef>
          </c:yVal>
          <c:smooth val="0"/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-126.49353816142404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4.8514589937413639</c:v>
                </c:pt>
                <c:pt idx="1">
                  <c:v>4.8514589937413639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-3.3970281587329967</c:v>
                </c:pt>
                <c:pt idx="1">
                  <c:v>-3.3970281587329967</c:v>
                </c:pt>
                <c:pt idx="2">
                  <c:v>-3.3970281587329967</c:v>
                </c:pt>
                <c:pt idx="3">
                  <c:v>-5.3970281587329971</c:v>
                </c:pt>
                <c:pt idx="4">
                  <c:v>-8.434428158732997</c:v>
                </c:pt>
                <c:pt idx="5">
                  <c:v>-9.3240281587329967</c:v>
                </c:pt>
                <c:pt idx="6">
                  <c:v>-19.117628158732995</c:v>
                </c:pt>
                <c:pt idx="7">
                  <c:v>-19.866528158732997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-1.0114000000000001</c:v>
                </c:pt>
                <c:pt idx="3">
                  <c:v>-3.0114000000000001</c:v>
                </c:pt>
                <c:pt idx="4">
                  <c:v>-3.0114000000000001</c:v>
                </c:pt>
                <c:pt idx="5">
                  <c:v>-2.9316</c:v>
                </c:pt>
                <c:pt idx="6">
                  <c:v>-1.1608000000000001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72896"/>
        <c:axId val="146019456"/>
      </c:scatterChart>
      <c:valAx>
        <c:axId val="145472896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019456"/>
        <c:crossesAt val="-250"/>
        <c:crossBetween val="midCat"/>
        <c:majorUnit val="25"/>
      </c:valAx>
      <c:valAx>
        <c:axId val="146019456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45472896"/>
        <c:crossesAt val="-250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8401775804661487"/>
          <c:y val="0.84507042253521125"/>
          <c:w val="0.23196448390677027"/>
          <c:h val="0.11267605633802813"/>
        </c:manualLayout>
      </c:layout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circle"/>
            <c:size val="4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rgbClr val="EEECE1">
                    <a:lumMod val="25000"/>
                  </a:srgbClr>
                </a:solidFill>
              </a:ln>
            </c:spPr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-63.246769080712021</c:v>
                </c:pt>
                <c:pt idx="1">
                  <c:v>-56.413057398900058</c:v>
                </c:pt>
                <c:pt idx="2">
                  <c:v>-49.579345717088096</c:v>
                </c:pt>
                <c:pt idx="3">
                  <c:v>-42.745634035276133</c:v>
                </c:pt>
                <c:pt idx="4">
                  <c:v>-35.91192235346417</c:v>
                </c:pt>
                <c:pt idx="5">
                  <c:v>-29.078210671652208</c:v>
                </c:pt>
                <c:pt idx="6">
                  <c:v>-22.244498989840245</c:v>
                </c:pt>
                <c:pt idx="7">
                  <c:v>-15.410787308028283</c:v>
                </c:pt>
                <c:pt idx="8">
                  <c:v>-8.5770756262163204</c:v>
                </c:pt>
                <c:pt idx="9">
                  <c:v>-1.7433639444043578</c:v>
                </c:pt>
                <c:pt idx="10">
                  <c:v>5.0903477374075976</c:v>
                </c:pt>
                <c:pt idx="11">
                  <c:v>0</c:v>
                </c:pt>
                <c:pt idx="12" formatCode="0.00">
                  <c:v>-1.1323427195776656</c:v>
                </c:pt>
                <c:pt idx="13" formatCode="0.00">
                  <c:v>-2.2646854391553313</c:v>
                </c:pt>
                <c:pt idx="14" formatCode="0.00">
                  <c:v>-3.3970281587329967</c:v>
                </c:pt>
                <c:pt idx="15" formatCode="0.00">
                  <c:v>-23.718351707221874</c:v>
                </c:pt>
                <c:pt idx="16" formatCode="0.00">
                  <c:v>-47.436703414443748</c:v>
                </c:pt>
                <c:pt idx="17" formatCode="0.00">
                  <c:v>-74.55208328039862</c:v>
                </c:pt>
                <c:pt idx="18" formatCode="0.00">
                  <c:v>-83.119452093876717</c:v>
                </c:pt>
                <c:pt idx="19" formatCode="0.00">
                  <c:v>-91.679832335183647</c:v>
                </c:pt>
                <c:pt idx="20" formatCode="0.00">
                  <c:v>-100.22624113286477</c:v>
                </c:pt>
                <c:pt idx="21" formatCode="0.00">
                  <c:v>-108.75170701224835</c:v>
                </c:pt>
                <c:pt idx="22" formatCode="0.00">
                  <c:v>-126.3061894202522</c:v>
                </c:pt>
                <c:pt idx="23">
                  <c:v>-126.49353816142404</c:v>
                </c:pt>
                <c:pt idx="24" formatCode="0.00">
                  <c:v>-127.47337501735782</c:v>
                </c:pt>
                <c:pt idx="25" formatCode="0.000">
                  <c:v>-121.05071442369319</c:v>
                </c:pt>
                <c:pt idx="26" formatCode="0.000">
                  <c:v>-114.62805383002862</c:v>
                </c:pt>
                <c:pt idx="27" formatCode="0.000">
                  <c:v>-108.20539323636405</c:v>
                </c:pt>
                <c:pt idx="28" formatCode="0.000">
                  <c:v>-101.78273264269947</c:v>
                </c:pt>
                <c:pt idx="29" formatCode="0.000">
                  <c:v>-95.360072049034898</c:v>
                </c:pt>
                <c:pt idx="30" formatCode="0.000">
                  <c:v>-88.937411455370324</c:v>
                </c:pt>
                <c:pt idx="31" formatCode="0.000">
                  <c:v>-82.51475086170575</c:v>
                </c:pt>
                <c:pt idx="32" formatCode="0.000">
                  <c:v>-76.092090268041176</c:v>
                </c:pt>
                <c:pt idx="33" formatCode="0.000">
                  <c:v>-69.669429674376602</c:v>
                </c:pt>
                <c:pt idx="34">
                  <c:v>-63.246769080712021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8.9612289685442565</c:v>
                </c:pt>
                <c:pt idx="1">
                  <c:v>8.992473468544258</c:v>
                </c:pt>
                <c:pt idx="2">
                  <c:v>9.0869969685442573</c:v>
                </c:pt>
                <c:pt idx="3">
                  <c:v>9.244799468544258</c:v>
                </c:pt>
                <c:pt idx="4">
                  <c:v>9.4658809685442566</c:v>
                </c:pt>
                <c:pt idx="5">
                  <c:v>9.7502414685442567</c:v>
                </c:pt>
                <c:pt idx="6">
                  <c:v>10.097880968544258</c:v>
                </c:pt>
                <c:pt idx="7">
                  <c:v>10.508799468544256</c:v>
                </c:pt>
                <c:pt idx="8">
                  <c:v>10.982996968544258</c:v>
                </c:pt>
                <c:pt idx="9">
                  <c:v>11.520473468544258</c:v>
                </c:pt>
                <c:pt idx="10">
                  <c:v>12.121228968544258</c:v>
                </c:pt>
                <c:pt idx="11">
                  <c:v>4.8514589937413639</c:v>
                </c:pt>
                <c:pt idx="12">
                  <c:v>3.2343059958275759</c:v>
                </c:pt>
                <c:pt idx="13">
                  <c:v>1.617152997913788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0.12235796643017238</c:v>
                </c:pt>
                <c:pt idx="19">
                  <c:v>0.48933205590770967</c:v>
                </c:pt>
                <c:pt idx="20">
                  <c:v>1.1006229204104443</c:v>
                </c:pt>
                <c:pt idx="21">
                  <c:v>1.9557319178912849</c:v>
                </c:pt>
                <c:pt idx="22">
                  <c:v>3.9700524650514581</c:v>
                </c:pt>
                <c:pt idx="23">
                  <c:v>4.8514589937413639</c:v>
                </c:pt>
                <c:pt idx="24">
                  <c:v>9.4612289685442565</c:v>
                </c:pt>
                <c:pt idx="25">
                  <c:v>9.4112289685442629</c:v>
                </c:pt>
                <c:pt idx="26">
                  <c:v>9.3612289685442622</c:v>
                </c:pt>
                <c:pt idx="27">
                  <c:v>9.3112289685442615</c:v>
                </c:pt>
                <c:pt idx="28">
                  <c:v>9.2612289685442608</c:v>
                </c:pt>
                <c:pt idx="29">
                  <c:v>9.2112289685442601</c:v>
                </c:pt>
                <c:pt idx="30">
                  <c:v>9.1612289685442594</c:v>
                </c:pt>
                <c:pt idx="31">
                  <c:v>9.1112289685442587</c:v>
                </c:pt>
                <c:pt idx="32">
                  <c:v>9.061228968544258</c:v>
                </c:pt>
                <c:pt idx="33">
                  <c:v>9.0112289685442573</c:v>
                </c:pt>
                <c:pt idx="34">
                  <c:v>8.9612289685442565</c:v>
                </c:pt>
              </c:numCache>
            </c:numRef>
          </c:yVal>
          <c:smooth val="0"/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-126.49353816142404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4.8514589937413639</c:v>
                </c:pt>
                <c:pt idx="1">
                  <c:v>4.8514589937413639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-3.3970281587329967</c:v>
                </c:pt>
                <c:pt idx="1">
                  <c:v>-3.3970281587329967</c:v>
                </c:pt>
                <c:pt idx="2">
                  <c:v>-3.3970281587329967</c:v>
                </c:pt>
                <c:pt idx="3">
                  <c:v>-5.3970281587329971</c:v>
                </c:pt>
                <c:pt idx="4">
                  <c:v>-8.434428158732997</c:v>
                </c:pt>
                <c:pt idx="5">
                  <c:v>-9.3240281587329967</c:v>
                </c:pt>
                <c:pt idx="6">
                  <c:v>-19.117628158732995</c:v>
                </c:pt>
                <c:pt idx="7">
                  <c:v>-19.866528158732997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-1.0114000000000001</c:v>
                </c:pt>
                <c:pt idx="3">
                  <c:v>-3.0114000000000001</c:v>
                </c:pt>
                <c:pt idx="4">
                  <c:v>-3.0114000000000001</c:v>
                </c:pt>
                <c:pt idx="5">
                  <c:v>-2.9316</c:v>
                </c:pt>
                <c:pt idx="6">
                  <c:v>-1.1608000000000001</c:v>
                </c:pt>
                <c:pt idx="7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v>Ref Lines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'Profile Calcs'!$P$27:$P$34</c:f>
              <c:numCache>
                <c:formatCode>0.00</c:formatCode>
                <c:ptCount val="8"/>
                <c:pt idx="0">
                  <c:v>-63.246769080712021</c:v>
                </c:pt>
                <c:pt idx="1">
                  <c:v>2.8776919166649146</c:v>
                </c:pt>
                <c:pt idx="2">
                  <c:v>0</c:v>
                </c:pt>
                <c:pt idx="3">
                  <c:v>-3.3970281587329967</c:v>
                </c:pt>
                <c:pt idx="4">
                  <c:v>-91.707815167032422</c:v>
                </c:pt>
                <c:pt idx="5">
                  <c:v>-126.3061894202522</c:v>
                </c:pt>
                <c:pt idx="6">
                  <c:v>-127.36709673652281</c:v>
                </c:pt>
                <c:pt idx="7">
                  <c:v>-63.246769080712021</c:v>
                </c:pt>
              </c:numCache>
            </c:numRef>
          </c:xVal>
          <c:yVal>
            <c:numRef>
              <c:f>'Profile Calcs'!$Q$27:$Q$34</c:f>
              <c:numCache>
                <c:formatCode>0.00</c:formatCode>
                <c:ptCount val="8"/>
                <c:pt idx="0">
                  <c:v>8.9612289685442565</c:v>
                </c:pt>
                <c:pt idx="1">
                  <c:v>8.9612289685442565</c:v>
                </c:pt>
                <c:pt idx="2">
                  <c:v>4.8514589937413639</c:v>
                </c:pt>
                <c:pt idx="3">
                  <c:v>0</c:v>
                </c:pt>
                <c:pt idx="4">
                  <c:v>0</c:v>
                </c:pt>
                <c:pt idx="5">
                  <c:v>3.9700524650514581</c:v>
                </c:pt>
                <c:pt idx="6">
                  <c:v>8.9612289685442565</c:v>
                </c:pt>
                <c:pt idx="7">
                  <c:v>8.9612289685442565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079744"/>
        <c:axId val="146081280"/>
      </c:scatterChart>
      <c:valAx>
        <c:axId val="146079744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081280"/>
        <c:crossesAt val="-250"/>
        <c:crossBetween val="midCat"/>
        <c:majorUnit val="25"/>
      </c:valAx>
      <c:valAx>
        <c:axId val="146081280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46079744"/>
        <c:crossesAt val="-250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2963374028856823"/>
          <c:y val="0.84688995215311003"/>
          <c:w val="0.33851276359600441"/>
          <c:h val="0.11483253588516751"/>
        </c:manualLayout>
      </c:layout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85457809694787"/>
          <c:y val="6.3775510204081634E-2"/>
          <c:w val="0.80969479353680884"/>
          <c:h val="0.76020408163265307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Inputs!$B$11</c:f>
              <c:numCache>
                <c:formatCode>0.000</c:formatCode>
                <c:ptCount val="1"/>
                <c:pt idx="0">
                  <c:v>8.8754E-2</c:v>
                </c:pt>
              </c:numCache>
            </c:numRef>
          </c:xVal>
          <c:yVal>
            <c:numRef>
              <c:f>Inputs!$B$7</c:f>
              <c:numCache>
                <c:formatCode>0.000</c:formatCode>
                <c:ptCount val="1"/>
                <c:pt idx="0">
                  <c:v>0.18167865168539324</c:v>
                </c:pt>
              </c:numCache>
            </c:numRef>
          </c:yVal>
          <c:smooth val="1"/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99CC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Inputs!$B$11</c:f>
              <c:numCache>
                <c:formatCode>0.000</c:formatCode>
                <c:ptCount val="1"/>
                <c:pt idx="0">
                  <c:v>8.8754E-2</c:v>
                </c:pt>
              </c:numCache>
            </c:numRef>
          </c:xVal>
          <c:yVal>
            <c:numRef>
              <c:f>Profile!$D$19</c:f>
              <c:numCache>
                <c:formatCode>General</c:formatCode>
                <c:ptCount val="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01760"/>
        <c:axId val="111304064"/>
      </c:scatterChart>
      <c:valAx>
        <c:axId val="111301760"/>
        <c:scaling>
          <c:orientation val="minMax"/>
          <c:max val="0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Area Transom/Area Midship</a:t>
                </a:r>
              </a:p>
            </c:rich>
          </c:tx>
          <c:layout>
            <c:manualLayout>
              <c:xMode val="edge"/>
              <c:yMode val="edge"/>
              <c:x val="0.39497302420530772"/>
              <c:y val="0.89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04064"/>
        <c:crosses val="autoZero"/>
        <c:crossBetween val="midCat"/>
      </c:valAx>
      <c:valAx>
        <c:axId val="111304064"/>
        <c:scaling>
          <c:orientation val="minMax"/>
          <c:max val="0.3000000000000003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Draft Transom/Draft Midships</a:t>
                </a:r>
              </a:p>
            </c:rich>
          </c:tx>
          <c:layout>
            <c:manualLayout>
              <c:xMode val="edge"/>
              <c:yMode val="edge"/>
              <c:x val="3.9497302420530768E-2"/>
              <c:y val="0.23214285714285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301760"/>
        <c:crossesAt val="0"/>
        <c:crossBetween val="midCat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solidFill>
            <a:srgbClr val="0000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76130067074951"/>
          <c:y val="0.6964285714285714"/>
          <c:w val="9.8743256051326944E-2"/>
          <c:h val="9.9489795918367374E-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Cm</a:t>
            </a:r>
          </a:p>
        </c:rich>
      </c:tx>
      <c:layout>
        <c:manualLayout>
          <c:xMode val="edge"/>
          <c:yMode val="edge"/>
          <c:x val="0.47264812209239659"/>
          <c:y val="3.584231416423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1864594894579"/>
          <c:y val="0.10277324632952718"/>
          <c:w val="0.84350721420643771"/>
          <c:h val="0.61663947797716379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0.48722035761400562</c:v>
                </c:pt>
                <c:pt idx="2">
                  <c:v>1.3209008727909985</c:v>
                </c:pt>
                <c:pt idx="3">
                  <c:v>2.0073208326207683</c:v>
                </c:pt>
                <c:pt idx="4">
                  <c:v>2.5815194313755394</c:v>
                </c:pt>
                <c:pt idx="5">
                  <c:v>3.2846025540624413</c:v>
                </c:pt>
                <c:pt idx="6">
                  <c:v>4.1615189796341889</c:v>
                </c:pt>
                <c:pt idx="7">
                  <c:v>4.795214031363737</c:v>
                </c:pt>
                <c:pt idx="8">
                  <c:v>5.6356020504387363</c:v>
                </c:pt>
                <c:pt idx="9">
                  <c:v>6.1511451292409047</c:v>
                </c:pt>
                <c:pt idx="10">
                  <c:v>6.4847025238582088</c:v>
                </c:pt>
                <c:pt idx="11">
                  <c:v>6.7060750503105959</c:v>
                </c:pt>
                <c:pt idx="12">
                  <c:v>6.8534137209162491</c:v>
                </c:pt>
                <c:pt idx="13">
                  <c:v>6.9493320201251318</c:v>
                </c:pt>
                <c:pt idx="14">
                  <c:v>7.0080848181571458</c:v>
                </c:pt>
                <c:pt idx="15">
                  <c:v>7.0391036724598841</c:v>
                </c:pt>
                <c:pt idx="16">
                  <c:v>7.0745672028940625</c:v>
                </c:pt>
                <c:pt idx="17">
                  <c:v>7.0983723900706526</c:v>
                </c:pt>
                <c:pt idx="18">
                  <c:v>7.1105192339896552</c:v>
                </c:pt>
                <c:pt idx="19">
                  <c:v>7.1110077346510696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5.8789014874420875</c:v>
                </c:pt>
                <c:pt idx="17">
                  <c:v>6.9063439811428102</c:v>
                </c:pt>
                <c:pt idx="18">
                  <c:v>7.9337864748435329</c:v>
                </c:pt>
                <c:pt idx="19">
                  <c:v>8.9612289685442565</c:v>
                </c:pt>
              </c:numCache>
            </c:numRef>
          </c:yVal>
          <c:smooth val="0"/>
        </c:ser>
        <c:ser>
          <c:idx val="1"/>
          <c:order val="1"/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squar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xVal>
            <c:numRef>
              <c:f>'Section Calcs'!$V$90:$AO$90</c:f>
              <c:numCache>
                <c:formatCode>0.00</c:formatCode>
                <c:ptCount val="20"/>
                <c:pt idx="0">
                  <c:v>0</c:v>
                </c:pt>
                <c:pt idx="1">
                  <c:v>-0.48722035761400562</c:v>
                </c:pt>
                <c:pt idx="2">
                  <c:v>-1.3209008727909985</c:v>
                </c:pt>
                <c:pt idx="3">
                  <c:v>-2.0073208326207683</c:v>
                </c:pt>
                <c:pt idx="4">
                  <c:v>-2.5815194313755394</c:v>
                </c:pt>
                <c:pt idx="5">
                  <c:v>-3.2846025540624413</c:v>
                </c:pt>
                <c:pt idx="6">
                  <c:v>-4.1615189796341889</c:v>
                </c:pt>
                <c:pt idx="7">
                  <c:v>-4.795214031363737</c:v>
                </c:pt>
                <c:pt idx="8">
                  <c:v>-5.6356020504387363</c:v>
                </c:pt>
                <c:pt idx="9">
                  <c:v>-6.1511451292409047</c:v>
                </c:pt>
                <c:pt idx="10">
                  <c:v>-6.4847025238582088</c:v>
                </c:pt>
                <c:pt idx="11">
                  <c:v>-6.7060750503105959</c:v>
                </c:pt>
                <c:pt idx="12">
                  <c:v>-6.8534137209162491</c:v>
                </c:pt>
                <c:pt idx="13">
                  <c:v>-6.9493320201251318</c:v>
                </c:pt>
                <c:pt idx="14">
                  <c:v>-7.0080848181571458</c:v>
                </c:pt>
                <c:pt idx="15">
                  <c:v>-7.0391036724598841</c:v>
                </c:pt>
                <c:pt idx="16">
                  <c:v>-7.0745672028940625</c:v>
                </c:pt>
                <c:pt idx="17">
                  <c:v>-7.0983723900706526</c:v>
                </c:pt>
                <c:pt idx="18">
                  <c:v>-7.1105192339896552</c:v>
                </c:pt>
                <c:pt idx="19">
                  <c:v>-7.1110077346510696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5.8789014874420875</c:v>
                </c:pt>
                <c:pt idx="17">
                  <c:v>6.9063439811428102</c:v>
                </c:pt>
                <c:pt idx="18">
                  <c:v>7.9337864748435329</c:v>
                </c:pt>
                <c:pt idx="19">
                  <c:v>8.9612289685442565</c:v>
                </c:pt>
              </c:numCache>
            </c:numRef>
          </c:yVal>
          <c:smooth val="0"/>
        </c:ser>
        <c:ser>
          <c:idx val="2"/>
          <c:order val="2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'Section Calcs'!$AK$83:$AK$84</c:f>
              <c:numCache>
                <c:formatCode>0.00</c:formatCode>
                <c:ptCount val="2"/>
                <c:pt idx="0">
                  <c:v>7.0993863285373875</c:v>
                </c:pt>
                <c:pt idx="1">
                  <c:v>-7.0993863285373875</c:v>
                </c:pt>
              </c:numCache>
            </c:numRef>
          </c:xVal>
          <c:yVal>
            <c:numRef>
              <c:f>'Section Calcs'!$C$1:$C$2</c:f>
              <c:numCache>
                <c:formatCode>General</c:formatCode>
                <c:ptCount val="2"/>
                <c:pt idx="0">
                  <c:v>4.8514589937413639</c:v>
                </c:pt>
                <c:pt idx="1">
                  <c:v>4.8514589937413639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40544"/>
        <c:axId val="146220160"/>
      </c:scatterChart>
      <c:valAx>
        <c:axId val="146140544"/>
        <c:scaling>
          <c:orientation val="minMax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0.00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20160"/>
        <c:crosses val="autoZero"/>
        <c:crossBetween val="midCat"/>
        <c:majorUnit val="2"/>
        <c:minorUnit val="1"/>
      </c:valAx>
      <c:valAx>
        <c:axId val="14622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40544"/>
        <c:crosses val="autoZero"/>
        <c:crossBetween val="midCat"/>
        <c:minorUnit val="1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Transom</a:t>
            </a:r>
          </a:p>
        </c:rich>
      </c:tx>
      <c:layout>
        <c:manualLayout>
          <c:xMode val="edge"/>
          <c:yMode val="edge"/>
          <c:x val="0.47264812209239659"/>
          <c:y val="3.584231416423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1864594894579"/>
          <c:y val="0.10277324632952718"/>
          <c:w val="0.84350721420643771"/>
          <c:h val="0.61663947797716379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2540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-5.2937166452104896E-2</c:v>
                </c:pt>
                <c:pt idx="2">
                  <c:v>-0.16544872632776214</c:v>
                </c:pt>
                <c:pt idx="3">
                  <c:v>-0.2859545022834683</c:v>
                </c:pt>
                <c:pt idx="4">
                  <c:v>-0.41345969721352932</c:v>
                </c:pt>
                <c:pt idx="5">
                  <c:v>-0.61575445675841423</c:v>
                </c:pt>
                <c:pt idx="6">
                  <c:v>-0.97484699466596947</c:v>
                </c:pt>
                <c:pt idx="7">
                  <c:v>-1.3500947272724113</c:v>
                </c:pt>
                <c:pt idx="8">
                  <c:v>-2.103583621772787</c:v>
                </c:pt>
                <c:pt idx="9">
                  <c:v>-2.7994316308926606</c:v>
                </c:pt>
                <c:pt idx="10">
                  <c:v>-3.3834969256674712</c:v>
                </c:pt>
                <c:pt idx="11">
                  <c:v>-3.8242853575349827</c:v>
                </c:pt>
                <c:pt idx="12">
                  <c:v>-4.1129504583352805</c:v>
                </c:pt>
                <c:pt idx="13">
                  <c:v>-4.2632934403107807</c:v>
                </c:pt>
                <c:pt idx="14">
                  <c:v>-4.3117631961061811</c:v>
                </c:pt>
                <c:pt idx="15">
                  <c:v>-4.3174562987685938</c:v>
                </c:pt>
                <c:pt idx="16">
                  <c:v>-4.4193017708410149</c:v>
                </c:pt>
                <c:pt idx="17">
                  <c:v>-4.4660287061590669</c:v>
                </c:pt>
                <c:pt idx="18">
                  <c:v>-4.4576371047227505</c:v>
                </c:pt>
                <c:pt idx="19">
                  <c:v>-4.394126966532065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3.9920961237765931</c:v>
                </c:pt>
                <c:pt idx="1">
                  <c:v>4.0006897524762408</c:v>
                </c:pt>
                <c:pt idx="2">
                  <c:v>4.0178770098755363</c:v>
                </c:pt>
                <c:pt idx="3">
                  <c:v>4.0350642672748318</c:v>
                </c:pt>
                <c:pt idx="4">
                  <c:v>4.0522515246741273</c:v>
                </c:pt>
                <c:pt idx="5">
                  <c:v>4.0780324107730701</c:v>
                </c:pt>
                <c:pt idx="6">
                  <c:v>4.1210005542713084</c:v>
                </c:pt>
                <c:pt idx="7">
                  <c:v>4.1639686977695476</c:v>
                </c:pt>
                <c:pt idx="8">
                  <c:v>4.2499049847660242</c:v>
                </c:pt>
                <c:pt idx="9">
                  <c:v>4.3358412717625017</c:v>
                </c:pt>
                <c:pt idx="10">
                  <c:v>4.4217775587589783</c:v>
                </c:pt>
                <c:pt idx="11">
                  <c:v>4.5077138457554558</c:v>
                </c:pt>
                <c:pt idx="12">
                  <c:v>4.5936501327519323</c:v>
                </c:pt>
                <c:pt idx="13">
                  <c:v>4.6795864197484098</c:v>
                </c:pt>
                <c:pt idx="14">
                  <c:v>4.7655227067448864</c:v>
                </c:pt>
                <c:pt idx="15">
                  <c:v>4.8514589937413639</c:v>
                </c:pt>
                <c:pt idx="16">
                  <c:v>6.0019944988356464</c:v>
                </c:pt>
                <c:pt idx="17">
                  <c:v>7.1525300039299289</c:v>
                </c:pt>
                <c:pt idx="18">
                  <c:v>8.3030655090242114</c:v>
                </c:pt>
                <c:pt idx="19">
                  <c:v>9.4536010141184939</c:v>
                </c:pt>
              </c:numCache>
            </c:numRef>
          </c:yVal>
          <c:smooth val="0"/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'Section Calcs'!$V$29:$AO$29</c:f>
              <c:numCache>
                <c:formatCode>0.00</c:formatCode>
                <c:ptCount val="20"/>
                <c:pt idx="0">
                  <c:v>0</c:v>
                </c:pt>
                <c:pt idx="1">
                  <c:v>5.2937166452104896E-2</c:v>
                </c:pt>
                <c:pt idx="2">
                  <c:v>0.16544872632776214</c:v>
                </c:pt>
                <c:pt idx="3">
                  <c:v>0.2859545022834683</c:v>
                </c:pt>
                <c:pt idx="4">
                  <c:v>0.41345969721352932</c:v>
                </c:pt>
                <c:pt idx="5">
                  <c:v>0.61575445675841423</c:v>
                </c:pt>
                <c:pt idx="6">
                  <c:v>0.97484699466596947</c:v>
                </c:pt>
                <c:pt idx="7">
                  <c:v>1.3500947272724113</c:v>
                </c:pt>
                <c:pt idx="8">
                  <c:v>2.103583621772787</c:v>
                </c:pt>
                <c:pt idx="9">
                  <c:v>2.7994316308926606</c:v>
                </c:pt>
                <c:pt idx="10">
                  <c:v>3.3834969256674712</c:v>
                </c:pt>
                <c:pt idx="11">
                  <c:v>3.8242853575349827</c:v>
                </c:pt>
                <c:pt idx="12">
                  <c:v>4.1129504583352805</c:v>
                </c:pt>
                <c:pt idx="13">
                  <c:v>4.2632934403107807</c:v>
                </c:pt>
                <c:pt idx="14">
                  <c:v>4.3117631961061811</c:v>
                </c:pt>
                <c:pt idx="15">
                  <c:v>4.3174562987685938</c:v>
                </c:pt>
                <c:pt idx="16">
                  <c:v>4.4193017708410149</c:v>
                </c:pt>
                <c:pt idx="17">
                  <c:v>4.4660287061590669</c:v>
                </c:pt>
                <c:pt idx="18">
                  <c:v>4.4576371047227505</c:v>
                </c:pt>
                <c:pt idx="19">
                  <c:v>4.394126966532065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3.9920961237765931</c:v>
                </c:pt>
                <c:pt idx="1">
                  <c:v>4.0006897524762408</c:v>
                </c:pt>
                <c:pt idx="2">
                  <c:v>4.0178770098755363</c:v>
                </c:pt>
                <c:pt idx="3">
                  <c:v>4.0350642672748318</c:v>
                </c:pt>
                <c:pt idx="4">
                  <c:v>4.0522515246741273</c:v>
                </c:pt>
                <c:pt idx="5">
                  <c:v>4.0780324107730701</c:v>
                </c:pt>
                <c:pt idx="6">
                  <c:v>4.1210005542713084</c:v>
                </c:pt>
                <c:pt idx="7">
                  <c:v>4.1639686977695476</c:v>
                </c:pt>
                <c:pt idx="8">
                  <c:v>4.2499049847660242</c:v>
                </c:pt>
                <c:pt idx="9">
                  <c:v>4.3358412717625017</c:v>
                </c:pt>
                <c:pt idx="10">
                  <c:v>4.4217775587589783</c:v>
                </c:pt>
                <c:pt idx="11">
                  <c:v>4.5077138457554558</c:v>
                </c:pt>
                <c:pt idx="12">
                  <c:v>4.5936501327519323</c:v>
                </c:pt>
                <c:pt idx="13">
                  <c:v>4.6795864197484098</c:v>
                </c:pt>
                <c:pt idx="14">
                  <c:v>4.7655227067448864</c:v>
                </c:pt>
                <c:pt idx="15">
                  <c:v>4.8514589937413639</c:v>
                </c:pt>
                <c:pt idx="16">
                  <c:v>6.0019944988356464</c:v>
                </c:pt>
                <c:pt idx="17">
                  <c:v>7.1525300039299289</c:v>
                </c:pt>
                <c:pt idx="18">
                  <c:v>8.3030655090242114</c:v>
                </c:pt>
                <c:pt idx="19">
                  <c:v>9.4536010141184939</c:v>
                </c:pt>
              </c:numCache>
            </c:numRef>
          </c:yVal>
          <c:smooth val="0"/>
        </c:ser>
        <c:ser>
          <c:idx val="2"/>
          <c:order val="2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'Section Calcs'!$R$22:$R$23</c:f>
              <c:numCache>
                <c:formatCode>0.00</c:formatCode>
                <c:ptCount val="2"/>
                <c:pt idx="0">
                  <c:v>7.0993863285377552</c:v>
                </c:pt>
                <c:pt idx="1">
                  <c:v>-7.0993863285377552</c:v>
                </c:pt>
              </c:numCache>
            </c:numRef>
          </c:xVal>
          <c:yVal>
            <c:numRef>
              <c:f>'Section Calcs'!$AA$22:$AA$23</c:f>
              <c:numCache>
                <c:formatCode>0.00</c:formatCode>
                <c:ptCount val="2"/>
                <c:pt idx="0">
                  <c:v>6.86</c:v>
                </c:pt>
                <c:pt idx="1">
                  <c:v>6.86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66752"/>
        <c:axId val="146280832"/>
      </c:scatterChart>
      <c:valAx>
        <c:axId val="146266752"/>
        <c:scaling>
          <c:orientation val="minMax"/>
          <c:max val="12"/>
          <c:min val="-12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0.00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0832"/>
        <c:crosses val="autoZero"/>
        <c:crossBetween val="midCat"/>
        <c:majorUnit val="2"/>
        <c:minorUnit val="1"/>
      </c:valAx>
      <c:valAx>
        <c:axId val="14628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66752"/>
        <c:crosses val="autoZero"/>
        <c:crossBetween val="midCat"/>
        <c:minorUnit val="1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Cp</a:t>
            </a:r>
          </a:p>
        </c:rich>
      </c:tx>
      <c:layout>
        <c:manualLayout>
          <c:xMode val="edge"/>
          <c:yMode val="edge"/>
          <c:x val="0.47368517337108668"/>
          <c:y val="3.873227918288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1353996737357251E-2"/>
          <c:w val="0.86015538290788063"/>
          <c:h val="0.7422512234910299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 Ref Calcs'!$C$15:$C$35</c:f>
              <c:numCache>
                <c:formatCode>General</c:formatCode>
                <c:ptCount val="21"/>
                <c:pt idx="0">
                  <c:v>0</c:v>
                </c:pt>
                <c:pt idx="1">
                  <c:v>6.3246769080712024</c:v>
                </c:pt>
                <c:pt idx="2">
                  <c:v>12.649353816142405</c:v>
                </c:pt>
                <c:pt idx="3">
                  <c:v>18.974030724213605</c:v>
                </c:pt>
                <c:pt idx="4">
                  <c:v>25.29870763228481</c:v>
                </c:pt>
                <c:pt idx="5">
                  <c:v>31.62338454035601</c:v>
                </c:pt>
                <c:pt idx="6">
                  <c:v>37.948061448427211</c:v>
                </c:pt>
                <c:pt idx="7">
                  <c:v>44.272738356498415</c:v>
                </c:pt>
                <c:pt idx="8">
                  <c:v>50.597415264569619</c:v>
                </c:pt>
                <c:pt idx="9">
                  <c:v>56.922092172640816</c:v>
                </c:pt>
                <c:pt idx="10">
                  <c:v>63.246769080712021</c:v>
                </c:pt>
                <c:pt idx="11">
                  <c:v>69.571445988783225</c:v>
                </c:pt>
                <c:pt idx="12">
                  <c:v>75.896122896854422</c:v>
                </c:pt>
                <c:pt idx="13">
                  <c:v>82.220799804925633</c:v>
                </c:pt>
                <c:pt idx="14">
                  <c:v>88.54547671299683</c:v>
                </c:pt>
                <c:pt idx="15">
                  <c:v>94.870153621068027</c:v>
                </c:pt>
                <c:pt idx="16">
                  <c:v>101.19483052913924</c:v>
                </c:pt>
                <c:pt idx="17">
                  <c:v>107.51950743721044</c:v>
                </c:pt>
                <c:pt idx="18">
                  <c:v>113.84418434528163</c:v>
                </c:pt>
                <c:pt idx="19">
                  <c:v>120.16886125335283</c:v>
                </c:pt>
                <c:pt idx="20">
                  <c:v>126.49353816142404</c:v>
                </c:pt>
              </c:numCache>
            </c:numRef>
          </c:xVal>
          <c:yVal>
            <c:numRef>
              <c:f>'Cp Ref Calcs'!$D$15:$D$35</c:f>
              <c:numCache>
                <c:formatCode>0.0</c:formatCode>
                <c:ptCount val="21"/>
                <c:pt idx="0">
                  <c:v>4.9784659414986825</c:v>
                </c:pt>
                <c:pt idx="1">
                  <c:v>10.055431158446591</c:v>
                </c:pt>
                <c:pt idx="2">
                  <c:v>16.297316944801523</c:v>
                </c:pt>
                <c:pt idx="3">
                  <c:v>23.207027425242345</c:v>
                </c:pt>
                <c:pt idx="4">
                  <c:v>30.315602379379698</c:v>
                </c:pt>
                <c:pt idx="5">
                  <c:v>37.188829688302327</c:v>
                </c:pt>
                <c:pt idx="6">
                  <c:v>43.433857781123315</c:v>
                </c:pt>
                <c:pt idx="7">
                  <c:v>48.705808081526406</c:v>
                </c:pt>
                <c:pt idx="8">
                  <c:v>52.714387454312423</c:v>
                </c:pt>
                <c:pt idx="9">
                  <c:v>55.230500651945341</c:v>
                </c:pt>
                <c:pt idx="10">
                  <c:v>56.092862761098758</c:v>
                </c:pt>
                <c:pt idx="11">
                  <c:v>55.214611649202183</c:v>
                </c:pt>
                <c:pt idx="12">
                  <c:v>52.589920410987226</c:v>
                </c:pt>
                <c:pt idx="13">
                  <c:v>48.300609815034058</c:v>
                </c:pt>
                <c:pt idx="14">
                  <c:v>42.522760750317524</c:v>
                </c:pt>
                <c:pt idx="15">
                  <c:v>35.533326672753688</c:v>
                </c:pt>
                <c:pt idx="16">
                  <c:v>27.716746051745812</c:v>
                </c:pt>
                <c:pt idx="17">
                  <c:v>19.571554816730977</c:v>
                </c:pt>
                <c:pt idx="18">
                  <c:v>11.71699880372622</c:v>
                </c:pt>
                <c:pt idx="19">
                  <c:v>4.8996462018747273</c:v>
                </c:pt>
                <c:pt idx="20">
                  <c:v>-7.6723524113559299E-12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66400"/>
        <c:axId val="144968320"/>
      </c:scatterChart>
      <c:valAx>
        <c:axId val="144966400"/>
        <c:scaling>
          <c:orientation val="minMax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68320"/>
        <c:crosses val="autoZero"/>
        <c:crossBetween val="midCat"/>
      </c:valAx>
      <c:valAx>
        <c:axId val="14496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66400"/>
        <c:crosses val="autoZero"/>
        <c:crossBetween val="midCat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Upper WLs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912030226990849E-2"/>
          <c:y val="6.6191998727431811E-2"/>
          <c:w val="0.9466630901906492"/>
          <c:h val="0.16883178239083751"/>
        </c:manualLayout>
      </c:layout>
      <c:scatterChart>
        <c:scatterStyle val="smoothMarker"/>
        <c:varyColors val="0"/>
        <c:ser>
          <c:idx val="1"/>
          <c:order val="0"/>
          <c:tx>
            <c:v>Cwl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'Cwl Opt1 Calcs'!$C$24:$C$44</c:f>
              <c:numCache>
                <c:formatCode>General</c:formatCode>
                <c:ptCount val="21"/>
                <c:pt idx="0">
                  <c:v>0</c:v>
                </c:pt>
                <c:pt idx="1">
                  <c:v>6.3246769080712024</c:v>
                </c:pt>
                <c:pt idx="2">
                  <c:v>12.649353816142405</c:v>
                </c:pt>
                <c:pt idx="3">
                  <c:v>18.974030724213605</c:v>
                </c:pt>
                <c:pt idx="4">
                  <c:v>25.29870763228481</c:v>
                </c:pt>
                <c:pt idx="5">
                  <c:v>31.62338454035601</c:v>
                </c:pt>
                <c:pt idx="6">
                  <c:v>37.948061448427211</c:v>
                </c:pt>
                <c:pt idx="7">
                  <c:v>44.272738356498415</c:v>
                </c:pt>
                <c:pt idx="8">
                  <c:v>50.597415264569619</c:v>
                </c:pt>
                <c:pt idx="9">
                  <c:v>56.922092172640816</c:v>
                </c:pt>
                <c:pt idx="10">
                  <c:v>63.246769080712021</c:v>
                </c:pt>
                <c:pt idx="11">
                  <c:v>69.571445988783225</c:v>
                </c:pt>
                <c:pt idx="12">
                  <c:v>75.896122896854422</c:v>
                </c:pt>
                <c:pt idx="13">
                  <c:v>82.220799804925633</c:v>
                </c:pt>
                <c:pt idx="14">
                  <c:v>88.54547671299683</c:v>
                </c:pt>
                <c:pt idx="15">
                  <c:v>94.870153621068027</c:v>
                </c:pt>
                <c:pt idx="16">
                  <c:v>101.19483052913924</c:v>
                </c:pt>
                <c:pt idx="17">
                  <c:v>107.51950743721044</c:v>
                </c:pt>
                <c:pt idx="18">
                  <c:v>113.84418434528163</c:v>
                </c:pt>
                <c:pt idx="19">
                  <c:v>120.16886125335283</c:v>
                </c:pt>
                <c:pt idx="20">
                  <c:v>126.49353816142404</c:v>
                </c:pt>
              </c:numCache>
            </c:numRef>
          </c:xVal>
          <c:yVal>
            <c:numRef>
              <c:f>'Cwl Opt1 Calcs'!$F$24:$F$44</c:f>
              <c:numCache>
                <c:formatCode>0.00</c:formatCode>
                <c:ptCount val="21"/>
                <c:pt idx="0">
                  <c:v>-4.3174562987685938</c:v>
                </c:pt>
                <c:pt idx="1">
                  <c:v>-5.075867300845891</c:v>
                </c:pt>
                <c:pt idx="2">
                  <c:v>-5.5453017508658915</c:v>
                </c:pt>
                <c:pt idx="3">
                  <c:v>-5.8521837526868952</c:v>
                </c:pt>
                <c:pt idx="4">
                  <c:v>-6.0833010423821401</c:v>
                </c:pt>
                <c:pt idx="5">
                  <c:v>-6.2911800264280764</c:v>
                </c:pt>
                <c:pt idx="6">
                  <c:v>-6.4994608198926027</c:v>
                </c:pt>
                <c:pt idx="7">
                  <c:v>-6.7082722846233285</c:v>
                </c:pt>
                <c:pt idx="8">
                  <c:v>-6.8996070674358272</c:v>
                </c:pt>
                <c:pt idx="9">
                  <c:v>-7.0426966383018899</c:v>
                </c:pt>
                <c:pt idx="10">
                  <c:v>-7.0993863285377801</c:v>
                </c:pt>
                <c:pt idx="11">
                  <c:v>-7.0295103689925025</c:v>
                </c:pt>
                <c:pt idx="12">
                  <c:v>-6.7962669282360118</c:v>
                </c:pt>
                <c:pt idx="13">
                  <c:v>-6.3715931507475352</c:v>
                </c:pt>
                <c:pt idx="14">
                  <c:v>-5.7415401951038074</c:v>
                </c:pt>
                <c:pt idx="15">
                  <c:v>-4.9116482721672057</c:v>
                </c:pt>
                <c:pt idx="16">
                  <c:v>-3.9123216832742509</c:v>
                </c:pt>
                <c:pt idx="17">
                  <c:v>-2.8042038584236262</c:v>
                </c:pt>
                <c:pt idx="18">
                  <c:v>-1.6835523944645565</c:v>
                </c:pt>
                <c:pt idx="19">
                  <c:v>-0.68761409328493395</c:v>
                </c:pt>
                <c:pt idx="20">
                  <c:v>0</c:v>
                </c:pt>
              </c:numCache>
            </c:numRef>
          </c:yVal>
          <c:smooth val="1"/>
        </c:ser>
        <c:ser>
          <c:idx val="0"/>
          <c:order val="1"/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'Cwl Opt1 Calcs'!$C$24:$C$44</c:f>
              <c:numCache>
                <c:formatCode>General</c:formatCode>
                <c:ptCount val="21"/>
                <c:pt idx="0">
                  <c:v>0</c:v>
                </c:pt>
                <c:pt idx="1">
                  <c:v>6.3246769080712024</c:v>
                </c:pt>
                <c:pt idx="2">
                  <c:v>12.649353816142405</c:v>
                </c:pt>
                <c:pt idx="3">
                  <c:v>18.974030724213605</c:v>
                </c:pt>
                <c:pt idx="4">
                  <c:v>25.29870763228481</c:v>
                </c:pt>
                <c:pt idx="5">
                  <c:v>31.62338454035601</c:v>
                </c:pt>
                <c:pt idx="6">
                  <c:v>37.948061448427211</c:v>
                </c:pt>
                <c:pt idx="7">
                  <c:v>44.272738356498415</c:v>
                </c:pt>
                <c:pt idx="8">
                  <c:v>50.597415264569619</c:v>
                </c:pt>
                <c:pt idx="9">
                  <c:v>56.922092172640816</c:v>
                </c:pt>
                <c:pt idx="10">
                  <c:v>63.246769080712021</c:v>
                </c:pt>
                <c:pt idx="11">
                  <c:v>69.571445988783225</c:v>
                </c:pt>
                <c:pt idx="12">
                  <c:v>75.896122896854422</c:v>
                </c:pt>
                <c:pt idx="13">
                  <c:v>82.220799804925633</c:v>
                </c:pt>
                <c:pt idx="14">
                  <c:v>88.54547671299683</c:v>
                </c:pt>
                <c:pt idx="15">
                  <c:v>94.870153621068027</c:v>
                </c:pt>
                <c:pt idx="16">
                  <c:v>101.19483052913924</c:v>
                </c:pt>
                <c:pt idx="17">
                  <c:v>107.51950743721044</c:v>
                </c:pt>
                <c:pt idx="18">
                  <c:v>113.84418434528163</c:v>
                </c:pt>
                <c:pt idx="19">
                  <c:v>120.16886125335283</c:v>
                </c:pt>
                <c:pt idx="20">
                  <c:v>126.49353816142404</c:v>
                </c:pt>
              </c:numCache>
            </c:numRef>
          </c:xVal>
          <c:yVal>
            <c:numRef>
              <c:f>'Cwl Opt1 Calcs'!$D$24:$D$44</c:f>
              <c:numCache>
                <c:formatCode>0.00</c:formatCode>
                <c:ptCount val="21"/>
                <c:pt idx="0">
                  <c:v>4.3174562987685938</c:v>
                </c:pt>
                <c:pt idx="1">
                  <c:v>5.075867300845891</c:v>
                </c:pt>
                <c:pt idx="2">
                  <c:v>5.5453017508658915</c:v>
                </c:pt>
                <c:pt idx="3">
                  <c:v>5.8521837526868952</c:v>
                </c:pt>
                <c:pt idx="4">
                  <c:v>6.0833010423821401</c:v>
                </c:pt>
                <c:pt idx="5">
                  <c:v>6.2911800264280764</c:v>
                </c:pt>
                <c:pt idx="6">
                  <c:v>6.4994608198926027</c:v>
                </c:pt>
                <c:pt idx="7">
                  <c:v>6.7082722846233285</c:v>
                </c:pt>
                <c:pt idx="8">
                  <c:v>6.8996070674358272</c:v>
                </c:pt>
                <c:pt idx="9">
                  <c:v>7.0426966383018899</c:v>
                </c:pt>
                <c:pt idx="10">
                  <c:v>7.0993863285377801</c:v>
                </c:pt>
                <c:pt idx="11">
                  <c:v>7.0295103689925025</c:v>
                </c:pt>
                <c:pt idx="12">
                  <c:v>6.7962669282360118</c:v>
                </c:pt>
                <c:pt idx="13">
                  <c:v>6.3715931507475352</c:v>
                </c:pt>
                <c:pt idx="14">
                  <c:v>5.7415401951038074</c:v>
                </c:pt>
                <c:pt idx="15">
                  <c:v>4.9116482721672057</c:v>
                </c:pt>
                <c:pt idx="16">
                  <c:v>3.9123216832742509</c:v>
                </c:pt>
                <c:pt idx="17">
                  <c:v>2.8042038584236262</c:v>
                </c:pt>
                <c:pt idx="18">
                  <c:v>1.6835523944645565</c:v>
                </c:pt>
                <c:pt idx="19">
                  <c:v>0.68761409328493395</c:v>
                </c:pt>
                <c:pt idx="20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Mid Upr WL</c:v>
          </c:tx>
          <c:spPr>
            <a:ln>
              <a:solidFill>
                <a:srgbClr val="9BBB59">
                  <a:lumMod val="50000"/>
                </a:srgbClr>
              </a:solidFill>
            </a:ln>
          </c:spPr>
          <c:marker>
            <c:symbol val="none"/>
          </c:marker>
          <c:xVal>
            <c:numRef>
              <c:f>'Mid Upr WL Opt2 Calcs'!$C$21:$C$41</c:f>
              <c:numCache>
                <c:formatCode>0.00</c:formatCode>
                <c:ptCount val="21"/>
                <c:pt idx="0">
                  <c:v>-0.53045365813530765</c:v>
                </c:pt>
                <c:pt idx="1">
                  <c:v>5.9459778647694295</c:v>
                </c:pt>
                <c:pt idx="2">
                  <c:v>12.422409387674167</c:v>
                </c:pt>
                <c:pt idx="3">
                  <c:v>18.898840910578901</c:v>
                </c:pt>
                <c:pt idx="4">
                  <c:v>25.375272433483641</c:v>
                </c:pt>
                <c:pt idx="5">
                  <c:v>31.851703956388377</c:v>
                </c:pt>
                <c:pt idx="6">
                  <c:v>38.32813547929311</c:v>
                </c:pt>
                <c:pt idx="7">
                  <c:v>44.804567002197849</c:v>
                </c:pt>
                <c:pt idx="8">
                  <c:v>51.280998525102589</c:v>
                </c:pt>
                <c:pt idx="9">
                  <c:v>57.757430048007329</c:v>
                </c:pt>
                <c:pt idx="10">
                  <c:v>64.233861570912069</c:v>
                </c:pt>
                <c:pt idx="11">
                  <c:v>70.710293093816802</c:v>
                </c:pt>
                <c:pt idx="12">
                  <c:v>77.186724616721534</c:v>
                </c:pt>
                <c:pt idx="13">
                  <c:v>83.663156139626267</c:v>
                </c:pt>
                <c:pt idx="14">
                  <c:v>90.139587662531</c:v>
                </c:pt>
                <c:pt idx="15">
                  <c:v>96.616019185435732</c:v>
                </c:pt>
                <c:pt idx="16">
                  <c:v>103.09245070834049</c:v>
                </c:pt>
                <c:pt idx="17">
                  <c:v>109.56888223124523</c:v>
                </c:pt>
                <c:pt idx="18">
                  <c:v>116.04531375414996</c:v>
                </c:pt>
                <c:pt idx="19">
                  <c:v>122.52174527705469</c:v>
                </c:pt>
                <c:pt idx="20">
                  <c:v>128.99817679995942</c:v>
                </c:pt>
              </c:numCache>
            </c:numRef>
          </c:xVal>
          <c:yVal>
            <c:numRef>
              <c:f>'Mid Upr WL Opt2 Calcs'!$D$21:$D$41</c:f>
              <c:numCache>
                <c:formatCode>0.00</c:formatCode>
                <c:ptCount val="21"/>
                <c:pt idx="0">
                  <c:v>4.4660287061590669</c:v>
                </c:pt>
                <c:pt idx="1">
                  <c:v>5.0520165504816692</c:v>
                </c:pt>
                <c:pt idx="2">
                  <c:v>5.485887886725366</c:v>
                </c:pt>
                <c:pt idx="3">
                  <c:v>5.8234128409627273</c:v>
                </c:pt>
                <c:pt idx="4">
                  <c:v>6.1034697471709709</c:v>
                </c:pt>
                <c:pt idx="5">
                  <c:v>6.3498650259026252</c:v>
                </c:pt>
                <c:pt idx="6">
                  <c:v>6.5732243669038697</c:v>
                </c:pt>
                <c:pt idx="7">
                  <c:v>6.7729552156805415</c:v>
                </c:pt>
                <c:pt idx="8">
                  <c:v>6.9392805640117983</c:v>
                </c:pt>
                <c:pt idx="9">
                  <c:v>7.0553440444114681</c:v>
                </c:pt>
                <c:pt idx="10">
                  <c:v>7.0993863285370473</c:v>
                </c:pt>
                <c:pt idx="11">
                  <c:v>7.0469928295463804</c:v>
                </c:pt>
                <c:pt idx="12">
                  <c:v>6.8734127084019896</c:v>
                </c:pt>
                <c:pt idx="13">
                  <c:v>6.5559491841231248</c:v>
                </c:pt>
                <c:pt idx="14">
                  <c:v>6.0764211479853589</c:v>
                </c:pt>
                <c:pt idx="15">
                  <c:v>5.42369608166804</c:v>
                </c:pt>
                <c:pt idx="16">
                  <c:v>4.5962942793492143</c:v>
                </c:pt>
                <c:pt idx="17">
                  <c:v>3.6050643737483692</c:v>
                </c:pt>
                <c:pt idx="18">
                  <c:v>2.4759301661166968</c:v>
                </c:pt>
                <c:pt idx="19">
                  <c:v>1.2527087601752269</c:v>
                </c:pt>
                <c:pt idx="20">
                  <c:v>4.2877547764825097E-13</c:v>
                </c:pt>
              </c:numCache>
            </c:numRef>
          </c:yVal>
          <c:smooth val="1"/>
        </c:ser>
        <c:ser>
          <c:idx val="3"/>
          <c:order val="3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'Mid Upr WL Opt2 Calcs'!$C$21:$C$41</c:f>
              <c:numCache>
                <c:formatCode>0.00</c:formatCode>
                <c:ptCount val="21"/>
                <c:pt idx="0">
                  <c:v>-0.53045365813530765</c:v>
                </c:pt>
                <c:pt idx="1">
                  <c:v>5.9459778647694295</c:v>
                </c:pt>
                <c:pt idx="2">
                  <c:v>12.422409387674167</c:v>
                </c:pt>
                <c:pt idx="3">
                  <c:v>18.898840910578901</c:v>
                </c:pt>
                <c:pt idx="4">
                  <c:v>25.375272433483641</c:v>
                </c:pt>
                <c:pt idx="5">
                  <c:v>31.851703956388377</c:v>
                </c:pt>
                <c:pt idx="6">
                  <c:v>38.32813547929311</c:v>
                </c:pt>
                <c:pt idx="7">
                  <c:v>44.804567002197849</c:v>
                </c:pt>
                <c:pt idx="8">
                  <c:v>51.280998525102589</c:v>
                </c:pt>
                <c:pt idx="9">
                  <c:v>57.757430048007329</c:v>
                </c:pt>
                <c:pt idx="10">
                  <c:v>64.233861570912069</c:v>
                </c:pt>
                <c:pt idx="11">
                  <c:v>70.710293093816802</c:v>
                </c:pt>
                <c:pt idx="12">
                  <c:v>77.186724616721534</c:v>
                </c:pt>
                <c:pt idx="13">
                  <c:v>83.663156139626267</c:v>
                </c:pt>
                <c:pt idx="14">
                  <c:v>90.139587662531</c:v>
                </c:pt>
                <c:pt idx="15">
                  <c:v>96.616019185435732</c:v>
                </c:pt>
                <c:pt idx="16">
                  <c:v>103.09245070834049</c:v>
                </c:pt>
                <c:pt idx="17">
                  <c:v>109.56888223124523</c:v>
                </c:pt>
                <c:pt idx="18">
                  <c:v>116.04531375414996</c:v>
                </c:pt>
                <c:pt idx="19">
                  <c:v>122.52174527705469</c:v>
                </c:pt>
                <c:pt idx="20">
                  <c:v>128.99817679995942</c:v>
                </c:pt>
              </c:numCache>
            </c:numRef>
          </c:xVal>
          <c:yVal>
            <c:numRef>
              <c:f>'Mid Upr WL Opt2 Calcs'!$E$21:$E$41</c:f>
              <c:numCache>
                <c:formatCode>0.00</c:formatCode>
                <c:ptCount val="21"/>
                <c:pt idx="0">
                  <c:v>-4.4660287061590669</c:v>
                </c:pt>
                <c:pt idx="1">
                  <c:v>-5.0520165504816692</c:v>
                </c:pt>
                <c:pt idx="2">
                  <c:v>-5.485887886725366</c:v>
                </c:pt>
                <c:pt idx="3">
                  <c:v>-5.8234128409627273</c:v>
                </c:pt>
                <c:pt idx="4">
                  <c:v>-6.1034697471709709</c:v>
                </c:pt>
                <c:pt idx="5">
                  <c:v>-6.3498650259026252</c:v>
                </c:pt>
                <c:pt idx="6">
                  <c:v>-6.5732243669038697</c:v>
                </c:pt>
                <c:pt idx="7">
                  <c:v>-6.7729552156805415</c:v>
                </c:pt>
                <c:pt idx="8">
                  <c:v>-6.9392805640117983</c:v>
                </c:pt>
                <c:pt idx="9">
                  <c:v>-7.0553440444114681</c:v>
                </c:pt>
                <c:pt idx="10">
                  <c:v>-7.0993863285370473</c:v>
                </c:pt>
                <c:pt idx="11">
                  <c:v>-7.0469928295463804</c:v>
                </c:pt>
                <c:pt idx="12">
                  <c:v>-6.8734127084019896</c:v>
                </c:pt>
                <c:pt idx="13">
                  <c:v>-6.5559491841231248</c:v>
                </c:pt>
                <c:pt idx="14">
                  <c:v>-6.0764211479853589</c:v>
                </c:pt>
                <c:pt idx="15">
                  <c:v>-5.42369608166804</c:v>
                </c:pt>
                <c:pt idx="16">
                  <c:v>-4.5962942793492143</c:v>
                </c:pt>
                <c:pt idx="17">
                  <c:v>-3.6050643737483692</c:v>
                </c:pt>
                <c:pt idx="18">
                  <c:v>-2.4759301661166968</c:v>
                </c:pt>
                <c:pt idx="19">
                  <c:v>-1.2527087601752269</c:v>
                </c:pt>
                <c:pt idx="20">
                  <c:v>-4.2877547764825097E-13</c:v>
                </c:pt>
              </c:numCache>
            </c:numRef>
          </c:yVal>
          <c:smooth val="1"/>
        </c:ser>
        <c:ser>
          <c:idx val="4"/>
          <c:order val="4"/>
          <c:tx>
            <c:v>Upr WL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'CWD Opt2 Calcs'!$C$21:$C$41</c:f>
              <c:numCache>
                <c:formatCode>General</c:formatCode>
                <c:ptCount val="21"/>
                <c:pt idx="0">
                  <c:v>-0.87355857509876955</c:v>
                </c:pt>
                <c:pt idx="1">
                  <c:v>5.7546275626395023</c:v>
                </c:pt>
                <c:pt idx="2">
                  <c:v>12.382813700377774</c:v>
                </c:pt>
                <c:pt idx="3">
                  <c:v>19.010999838116042</c:v>
                </c:pt>
                <c:pt idx="4">
                  <c:v>25.639185975854318</c:v>
                </c:pt>
                <c:pt idx="5">
                  <c:v>32.267372113592586</c:v>
                </c:pt>
                <c:pt idx="6">
                  <c:v>38.895558251330854</c:v>
                </c:pt>
                <c:pt idx="7">
                  <c:v>45.523744389069122</c:v>
                </c:pt>
                <c:pt idx="8">
                  <c:v>52.151930526807405</c:v>
                </c:pt>
                <c:pt idx="9">
                  <c:v>58.780116664545673</c:v>
                </c:pt>
                <c:pt idx="10">
                  <c:v>65.408302802283941</c:v>
                </c:pt>
                <c:pt idx="11">
                  <c:v>72.036488940022224</c:v>
                </c:pt>
                <c:pt idx="12">
                  <c:v>78.664675077760478</c:v>
                </c:pt>
                <c:pt idx="13">
                  <c:v>85.29286121549876</c:v>
                </c:pt>
                <c:pt idx="14">
                  <c:v>91.921047353237014</c:v>
                </c:pt>
                <c:pt idx="15">
                  <c:v>98.549233490975297</c:v>
                </c:pt>
                <c:pt idx="16">
                  <c:v>105.17741962871358</c:v>
                </c:pt>
                <c:pt idx="17">
                  <c:v>111.80560576645183</c:v>
                </c:pt>
                <c:pt idx="18">
                  <c:v>118.43379190419012</c:v>
                </c:pt>
                <c:pt idx="19">
                  <c:v>125.06197804192837</c:v>
                </c:pt>
                <c:pt idx="20">
                  <c:v>131.69016417966665</c:v>
                </c:pt>
              </c:numCache>
            </c:numRef>
          </c:xVal>
          <c:yVal>
            <c:numRef>
              <c:f>'CWD Opt2 Calcs'!$D$21:$D$41</c:f>
              <c:numCache>
                <c:formatCode>0.00</c:formatCode>
                <c:ptCount val="21"/>
                <c:pt idx="0">
                  <c:v>4.2596317971226529</c:v>
                </c:pt>
                <c:pt idx="1">
                  <c:v>5.247412650542695</c:v>
                </c:pt>
                <c:pt idx="2">
                  <c:v>5.7670684248471478</c:v>
                </c:pt>
                <c:pt idx="3">
                  <c:v>6.0458522476108199</c:v>
                </c:pt>
                <c:pt idx="4">
                  <c:v>6.2271398292024358</c:v>
                </c:pt>
                <c:pt idx="5">
                  <c:v>6.3896051594051979</c:v>
                </c:pt>
                <c:pt idx="6">
                  <c:v>6.5642018293389617</c:v>
                </c:pt>
                <c:pt idx="7">
                  <c:v>6.7489499786839442</c:v>
                </c:pt>
                <c:pt idx="8">
                  <c:v>6.9215288682060683</c:v>
                </c:pt>
                <c:pt idx="9">
                  <c:v>7.0496750775838573</c:v>
                </c:pt>
                <c:pt idx="10">
                  <c:v>7.0993863285368759</c:v>
                </c:pt>
                <c:pt idx="11">
                  <c:v>7.0409309332558587</c:v>
                </c:pt>
                <c:pt idx="12">
                  <c:v>6.8526628681342503</c:v>
                </c:pt>
                <c:pt idx="13">
                  <c:v>6.5226424728015306</c:v>
                </c:pt>
                <c:pt idx="14">
                  <c:v>6.0480627744579438</c:v>
                </c:pt>
                <c:pt idx="15">
                  <c:v>5.4324814375109103</c:v>
                </c:pt>
                <c:pt idx="16">
                  <c:v>4.6808583385130325</c:v>
                </c:pt>
                <c:pt idx="17">
                  <c:v>3.7923987664013912</c:v>
                </c:pt>
                <c:pt idx="18">
                  <c:v>2.7512022480392742</c:v>
                </c:pt>
                <c:pt idx="19">
                  <c:v>1.5147169990576823</c:v>
                </c:pt>
                <c:pt idx="20">
                  <c:v>1.4124368675471796E-12</c:v>
                </c:pt>
              </c:numCache>
            </c:numRef>
          </c:yVal>
          <c:smooth val="1"/>
        </c:ser>
        <c:ser>
          <c:idx val="5"/>
          <c:order val="5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'CWD Opt2 Calcs'!$C$21:$C$41</c:f>
              <c:numCache>
                <c:formatCode>General</c:formatCode>
                <c:ptCount val="21"/>
                <c:pt idx="0">
                  <c:v>-0.87355857509876955</c:v>
                </c:pt>
                <c:pt idx="1">
                  <c:v>5.7546275626395023</c:v>
                </c:pt>
                <c:pt idx="2">
                  <c:v>12.382813700377774</c:v>
                </c:pt>
                <c:pt idx="3">
                  <c:v>19.010999838116042</c:v>
                </c:pt>
                <c:pt idx="4">
                  <c:v>25.639185975854318</c:v>
                </c:pt>
                <c:pt idx="5">
                  <c:v>32.267372113592586</c:v>
                </c:pt>
                <c:pt idx="6">
                  <c:v>38.895558251330854</c:v>
                </c:pt>
                <c:pt idx="7">
                  <c:v>45.523744389069122</c:v>
                </c:pt>
                <c:pt idx="8">
                  <c:v>52.151930526807405</c:v>
                </c:pt>
                <c:pt idx="9">
                  <c:v>58.780116664545673</c:v>
                </c:pt>
                <c:pt idx="10">
                  <c:v>65.408302802283941</c:v>
                </c:pt>
                <c:pt idx="11">
                  <c:v>72.036488940022224</c:v>
                </c:pt>
                <c:pt idx="12">
                  <c:v>78.664675077760478</c:v>
                </c:pt>
                <c:pt idx="13">
                  <c:v>85.29286121549876</c:v>
                </c:pt>
                <c:pt idx="14">
                  <c:v>91.921047353237014</c:v>
                </c:pt>
                <c:pt idx="15">
                  <c:v>98.549233490975297</c:v>
                </c:pt>
                <c:pt idx="16">
                  <c:v>105.17741962871358</c:v>
                </c:pt>
                <c:pt idx="17">
                  <c:v>111.80560576645183</c:v>
                </c:pt>
                <c:pt idx="18">
                  <c:v>118.43379190419012</c:v>
                </c:pt>
                <c:pt idx="19">
                  <c:v>125.06197804192837</c:v>
                </c:pt>
                <c:pt idx="20">
                  <c:v>131.69016417966665</c:v>
                </c:pt>
              </c:numCache>
            </c:numRef>
          </c:xVal>
          <c:yVal>
            <c:numRef>
              <c:f>'CWD Opt2 Calcs'!$E$21:$E$41</c:f>
              <c:numCache>
                <c:formatCode>0.00</c:formatCode>
                <c:ptCount val="21"/>
                <c:pt idx="0">
                  <c:v>-4.2596317971226529</c:v>
                </c:pt>
                <c:pt idx="1">
                  <c:v>-5.247412650542695</c:v>
                </c:pt>
                <c:pt idx="2">
                  <c:v>-5.7670684248471478</c:v>
                </c:pt>
                <c:pt idx="3">
                  <c:v>-6.0458522476108199</c:v>
                </c:pt>
                <c:pt idx="4">
                  <c:v>-6.2271398292024358</c:v>
                </c:pt>
                <c:pt idx="5">
                  <c:v>-6.3896051594051979</c:v>
                </c:pt>
                <c:pt idx="6">
                  <c:v>-6.5642018293389617</c:v>
                </c:pt>
                <c:pt idx="7">
                  <c:v>-6.7489499786839442</c:v>
                </c:pt>
                <c:pt idx="8">
                  <c:v>-6.9215288682060683</c:v>
                </c:pt>
                <c:pt idx="9">
                  <c:v>-7.0496750775838573</c:v>
                </c:pt>
                <c:pt idx="10">
                  <c:v>-7.0993863285368759</c:v>
                </c:pt>
                <c:pt idx="11">
                  <c:v>-7.0409309332558587</c:v>
                </c:pt>
                <c:pt idx="12">
                  <c:v>-6.8526628681342503</c:v>
                </c:pt>
                <c:pt idx="13">
                  <c:v>-6.5226424728015306</c:v>
                </c:pt>
                <c:pt idx="14">
                  <c:v>-6.0480627744579438</c:v>
                </c:pt>
                <c:pt idx="15">
                  <c:v>-5.4324814375109103</c:v>
                </c:pt>
                <c:pt idx="16">
                  <c:v>-4.6808583385130325</c:v>
                </c:pt>
                <c:pt idx="17">
                  <c:v>-3.7923987664013912</c:v>
                </c:pt>
                <c:pt idx="18">
                  <c:v>-2.7512022480392742</c:v>
                </c:pt>
                <c:pt idx="19">
                  <c:v>-1.5147169990576823</c:v>
                </c:pt>
                <c:pt idx="20">
                  <c:v>-1.4124368675471796E-12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344576"/>
        <c:axId val="146358656"/>
      </c:scatterChart>
      <c:valAx>
        <c:axId val="146344576"/>
        <c:scaling>
          <c:orientation val="minMax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58656"/>
        <c:crossesAt val="-20"/>
        <c:crossBetween val="midCat"/>
      </c:valAx>
      <c:valAx>
        <c:axId val="14635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44576"/>
        <c:crosses val="autoZero"/>
        <c:crossBetween val="midCat"/>
        <c:majorUnit val="10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3518312985571586"/>
          <c:y val="0.28221859706362151"/>
          <c:w val="0.29744728079911209"/>
          <c:h val="3.4257748776508945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08768035516095E-2"/>
          <c:y val="5.2202283849918873E-2"/>
          <c:w val="0.84572697003329833"/>
          <c:h val="0.800978792822186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Sections!$A$31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-5.2937166452104896E-2</c:v>
                </c:pt>
                <c:pt idx="2">
                  <c:v>-0.16544872632776214</c:v>
                </c:pt>
                <c:pt idx="3">
                  <c:v>-0.2859545022834683</c:v>
                </c:pt>
                <c:pt idx="4">
                  <c:v>-0.41345969721352932</c:v>
                </c:pt>
                <c:pt idx="5">
                  <c:v>-0.61575445675841423</c:v>
                </c:pt>
                <c:pt idx="6">
                  <c:v>-0.97484699466596947</c:v>
                </c:pt>
                <c:pt idx="7">
                  <c:v>-1.3500947272724113</c:v>
                </c:pt>
                <c:pt idx="8">
                  <c:v>-2.103583621772787</c:v>
                </c:pt>
                <c:pt idx="9">
                  <c:v>-2.7994316308926606</c:v>
                </c:pt>
                <c:pt idx="10">
                  <c:v>-3.3834969256674712</c:v>
                </c:pt>
                <c:pt idx="11">
                  <c:v>-3.8242853575349827</c:v>
                </c:pt>
                <c:pt idx="12">
                  <c:v>-4.1129504583352805</c:v>
                </c:pt>
                <c:pt idx="13">
                  <c:v>-4.2632934403107807</c:v>
                </c:pt>
                <c:pt idx="14">
                  <c:v>-4.3117631961061811</c:v>
                </c:pt>
                <c:pt idx="15">
                  <c:v>-4.3174562987685938</c:v>
                </c:pt>
                <c:pt idx="16">
                  <c:v>-4.4193017708410149</c:v>
                </c:pt>
                <c:pt idx="17">
                  <c:v>-4.4660287061590669</c:v>
                </c:pt>
                <c:pt idx="18">
                  <c:v>-4.4576371047227505</c:v>
                </c:pt>
                <c:pt idx="19">
                  <c:v>-4.394126966532065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3.9920961237765931</c:v>
                </c:pt>
                <c:pt idx="1">
                  <c:v>4.0006897524762408</c:v>
                </c:pt>
                <c:pt idx="2">
                  <c:v>4.0178770098755363</c:v>
                </c:pt>
                <c:pt idx="3">
                  <c:v>4.0350642672748318</c:v>
                </c:pt>
                <c:pt idx="4">
                  <c:v>4.0522515246741273</c:v>
                </c:pt>
                <c:pt idx="5">
                  <c:v>4.0780324107730701</c:v>
                </c:pt>
                <c:pt idx="6">
                  <c:v>4.1210005542713084</c:v>
                </c:pt>
                <c:pt idx="7">
                  <c:v>4.1639686977695476</c:v>
                </c:pt>
                <c:pt idx="8">
                  <c:v>4.2499049847660242</c:v>
                </c:pt>
                <c:pt idx="9">
                  <c:v>4.3358412717625017</c:v>
                </c:pt>
                <c:pt idx="10">
                  <c:v>4.4217775587589783</c:v>
                </c:pt>
                <c:pt idx="11">
                  <c:v>4.5077138457554558</c:v>
                </c:pt>
                <c:pt idx="12">
                  <c:v>4.5936501327519323</c:v>
                </c:pt>
                <c:pt idx="13">
                  <c:v>4.6795864197484098</c:v>
                </c:pt>
                <c:pt idx="14">
                  <c:v>4.7655227067448864</c:v>
                </c:pt>
                <c:pt idx="15">
                  <c:v>4.8514589937413639</c:v>
                </c:pt>
                <c:pt idx="16">
                  <c:v>6.0019944988356464</c:v>
                </c:pt>
                <c:pt idx="17">
                  <c:v>7.1525300039299289</c:v>
                </c:pt>
                <c:pt idx="18">
                  <c:v>8.3030655090242114</c:v>
                </c:pt>
                <c:pt idx="19">
                  <c:v>9.4536010141184939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Sections!$A$32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xVal>
            <c:numRef>
              <c:f>'Section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-4.8388364445049466E-2</c:v>
                </c:pt>
                <c:pt idx="2">
                  <c:v>-0.15447795553391994</c:v>
                </c:pt>
                <c:pt idx="3">
                  <c:v>-0.27188146294275328</c:v>
                </c:pt>
                <c:pt idx="4">
                  <c:v>-0.39931563862409036</c:v>
                </c:pt>
                <c:pt idx="5">
                  <c:v>-0.60658157723434158</c:v>
                </c:pt>
                <c:pt idx="6">
                  <c:v>-0.98531933859008525</c:v>
                </c:pt>
                <c:pt idx="7">
                  <c:v>-1.3911276662351226</c:v>
                </c:pt>
                <c:pt idx="8">
                  <c:v>-2.2251573148426997</c:v>
                </c:pt>
                <c:pt idx="9">
                  <c:v>-3.0092123470544858</c:v>
                </c:pt>
                <c:pt idx="10">
                  <c:v>-3.6728573630249404</c:v>
                </c:pt>
                <c:pt idx="11">
                  <c:v>-4.1746797390655823</c:v>
                </c:pt>
                <c:pt idx="12">
                  <c:v>-4.5022896276449833</c:v>
                </c:pt>
                <c:pt idx="13">
                  <c:v>-4.672319957388769</c:v>
                </c:pt>
                <c:pt idx="14">
                  <c:v>-4.7304264330795851</c:v>
                </c:pt>
                <c:pt idx="15">
                  <c:v>-4.7512875356572248</c:v>
                </c:pt>
                <c:pt idx="16">
                  <c:v>-4.9467879594941753</c:v>
                </c:pt>
                <c:pt idx="17">
                  <c:v>-5.044449322894426</c:v>
                </c:pt>
                <c:pt idx="18">
                  <c:v>-5.0442716258579754</c:v>
                </c:pt>
                <c:pt idx="19">
                  <c:v>-4.9462548683848251</c:v>
                </c:pt>
              </c:numCache>
            </c:numRef>
          </c:xVal>
          <c:yVal>
            <c:numRef>
              <c:f>'Section Calcs'!$V$32:$AO$32</c:f>
              <c:numCache>
                <c:formatCode>0.00</c:formatCode>
                <c:ptCount val="20"/>
                <c:pt idx="0">
                  <c:v>3.2501121381991185</c:v>
                </c:pt>
                <c:pt idx="1">
                  <c:v>3.266125606754541</c:v>
                </c:pt>
                <c:pt idx="2">
                  <c:v>3.298152543865386</c:v>
                </c:pt>
                <c:pt idx="3">
                  <c:v>3.3301794809762306</c:v>
                </c:pt>
                <c:pt idx="4">
                  <c:v>3.3622064180870757</c:v>
                </c:pt>
                <c:pt idx="5">
                  <c:v>3.4102468237533432</c:v>
                </c:pt>
                <c:pt idx="6">
                  <c:v>3.4903141665304553</c:v>
                </c:pt>
                <c:pt idx="7">
                  <c:v>3.5703815093075675</c:v>
                </c:pt>
                <c:pt idx="8">
                  <c:v>3.7305161948617922</c:v>
                </c:pt>
                <c:pt idx="9">
                  <c:v>3.8906508804160165</c:v>
                </c:pt>
                <c:pt idx="10">
                  <c:v>4.0507855659702408</c:v>
                </c:pt>
                <c:pt idx="11">
                  <c:v>4.2109202515244659</c:v>
                </c:pt>
                <c:pt idx="12">
                  <c:v>4.3710549370786902</c:v>
                </c:pt>
                <c:pt idx="13">
                  <c:v>4.5311896226329145</c:v>
                </c:pt>
                <c:pt idx="14">
                  <c:v>4.6913243081871396</c:v>
                </c:pt>
                <c:pt idx="15">
                  <c:v>4.8514589937413639</c:v>
                </c:pt>
                <c:pt idx="16">
                  <c:v>5.9896851881849322</c:v>
                </c:pt>
                <c:pt idx="17">
                  <c:v>7.1279113826284997</c:v>
                </c:pt>
                <c:pt idx="18">
                  <c:v>8.2661375770720671</c:v>
                </c:pt>
                <c:pt idx="19">
                  <c:v>9.4043637715156354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Sections!$A$33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xVal>
            <c:numRef>
              <c:f>'Section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-7.0158490027806206E-2</c:v>
                </c:pt>
                <c:pt idx="2">
                  <c:v>-0.21745205342341509</c:v>
                </c:pt>
                <c:pt idx="3">
                  <c:v>-0.37305788242557142</c:v>
                </c:pt>
                <c:pt idx="4">
                  <c:v>-0.5358264788287801</c:v>
                </c:pt>
                <c:pt idx="5">
                  <c:v>-0.79100279989097455</c:v>
                </c:pt>
                <c:pt idx="6">
                  <c:v>-1.2370712307679004</c:v>
                </c:pt>
                <c:pt idx="7">
                  <c:v>-1.6962102074745526</c:v>
                </c:pt>
                <c:pt idx="8">
                  <c:v>-2.6020406982823925</c:v>
                </c:pt>
                <c:pt idx="9">
                  <c:v>-3.422281612590325</c:v>
                </c:pt>
                <c:pt idx="10">
                  <c:v>-4.0980891554183438</c:v>
                </c:pt>
                <c:pt idx="11">
                  <c:v>-4.5979883965306128</c:v>
                </c:pt>
                <c:pt idx="12">
                  <c:v>-4.9178732704354671</c:v>
                </c:pt>
                <c:pt idx="13">
                  <c:v>-5.0810065763854126</c:v>
                </c:pt>
                <c:pt idx="14">
                  <c:v>-5.1380199783770877</c:v>
                </c:pt>
                <c:pt idx="15">
                  <c:v>-5.1669140051513978</c:v>
                </c:pt>
                <c:pt idx="16">
                  <c:v>-5.3591453077745523</c:v>
                </c:pt>
                <c:pt idx="17">
                  <c:v>-5.474947420612696</c:v>
                </c:pt>
                <c:pt idx="18">
                  <c:v>-5.5143203436658315</c:v>
                </c:pt>
                <c:pt idx="19">
                  <c:v>-5.4772640769339551</c:v>
                </c:pt>
              </c:numCache>
            </c:numRef>
          </c:xVal>
          <c:yVal>
            <c:numRef>
              <c:f>'Section Calcs'!$V$38:$AO$38</c:f>
              <c:numCache>
                <c:formatCode>0.00</c:formatCode>
                <c:ptCount val="20"/>
                <c:pt idx="0">
                  <c:v>2.5220602308173645</c:v>
                </c:pt>
                <c:pt idx="1">
                  <c:v>2.5453542184466045</c:v>
                </c:pt>
                <c:pt idx="2">
                  <c:v>2.5919421937050844</c:v>
                </c:pt>
                <c:pt idx="3">
                  <c:v>2.6385301689635643</c:v>
                </c:pt>
                <c:pt idx="4">
                  <c:v>2.6851181442220446</c:v>
                </c:pt>
                <c:pt idx="5">
                  <c:v>2.7550001071097645</c:v>
                </c:pt>
                <c:pt idx="6">
                  <c:v>2.8714700452559643</c:v>
                </c:pt>
                <c:pt idx="7">
                  <c:v>2.9879399834021645</c:v>
                </c:pt>
                <c:pt idx="8">
                  <c:v>3.2208798596945645</c:v>
                </c:pt>
                <c:pt idx="9">
                  <c:v>3.4538197359869645</c:v>
                </c:pt>
                <c:pt idx="10">
                  <c:v>3.6867596122793644</c:v>
                </c:pt>
                <c:pt idx="11">
                  <c:v>3.919699488571764</c:v>
                </c:pt>
                <c:pt idx="12">
                  <c:v>4.1526393648641644</c:v>
                </c:pt>
                <c:pt idx="13">
                  <c:v>4.3855792411565639</c:v>
                </c:pt>
                <c:pt idx="14">
                  <c:v>4.6185191174489635</c:v>
                </c:pt>
                <c:pt idx="15">
                  <c:v>4.8514589937413639</c:v>
                </c:pt>
                <c:pt idx="16">
                  <c:v>5.9773759150470989</c:v>
                </c:pt>
                <c:pt idx="17">
                  <c:v>7.1032928363528338</c:v>
                </c:pt>
                <c:pt idx="18">
                  <c:v>8.2292097576585697</c:v>
                </c:pt>
                <c:pt idx="19">
                  <c:v>9.3551266789643037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Sections!$A$34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xVal>
            <c:numRef>
              <c:f>'Section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-8.804020579233697E-2</c:v>
                </c:pt>
                <c:pt idx="2">
                  <c:v>-0.26923778478322219</c:v>
                </c:pt>
                <c:pt idx="3">
                  <c:v>-0.45637151278810661</c:v>
                </c:pt>
                <c:pt idx="4">
                  <c:v>-0.64841270590986111</c:v>
                </c:pt>
                <c:pt idx="5">
                  <c:v>-0.94352532360668073</c:v>
                </c:pt>
                <c:pt idx="6">
                  <c:v>-1.4464946570633774</c:v>
                </c:pt>
                <c:pt idx="7">
                  <c:v>-1.9518933241948586</c:v>
                </c:pt>
                <c:pt idx="8">
                  <c:v>-2.9243368357738184</c:v>
                </c:pt>
                <c:pt idx="9">
                  <c:v>-3.7853780752168924</c:v>
                </c:pt>
                <c:pt idx="10">
                  <c:v>-4.4848286422614541</c:v>
                </c:pt>
                <c:pt idx="11">
                  <c:v>-4.9977895195089221</c:v>
                </c:pt>
                <c:pt idx="12">
                  <c:v>-5.3246510724247642</c:v>
                </c:pt>
                <c:pt idx="13">
                  <c:v>-5.4910930493384935</c:v>
                </c:pt>
                <c:pt idx="14">
                  <c:v>-5.5480845814436295</c:v>
                </c:pt>
                <c:pt idx="15">
                  <c:v>-5.5718841827978496</c:v>
                </c:pt>
                <c:pt idx="16">
                  <c:v>-5.7030009954231096</c:v>
                </c:pt>
                <c:pt idx="17">
                  <c:v>-5.8099926618499156</c:v>
                </c:pt>
                <c:pt idx="18">
                  <c:v>-5.8928591820782641</c:v>
                </c:pt>
                <c:pt idx="19">
                  <c:v>-5.9516005561081613</c:v>
                </c:pt>
              </c:numCache>
            </c:numRef>
          </c:xVal>
          <c:yVal>
            <c:numRef>
              <c:f>'Section Calcs'!$V$44:$AO$44</c:f>
              <c:numCache>
                <c:formatCode>0.00</c:formatCode>
                <c:ptCount val="20"/>
                <c:pt idx="0">
                  <c:v>1.822392570788296</c:v>
                </c:pt>
                <c:pt idx="1">
                  <c:v>1.8526832350178266</c:v>
                </c:pt>
                <c:pt idx="2">
                  <c:v>1.9132645634768881</c:v>
                </c:pt>
                <c:pt idx="3">
                  <c:v>1.9738458919359494</c:v>
                </c:pt>
                <c:pt idx="4">
                  <c:v>2.0344272203950107</c:v>
                </c:pt>
                <c:pt idx="5">
                  <c:v>2.1252992130836028</c:v>
                </c:pt>
                <c:pt idx="6">
                  <c:v>2.2767525342312562</c:v>
                </c:pt>
                <c:pt idx="7">
                  <c:v>2.4282058553789096</c:v>
                </c:pt>
                <c:pt idx="8">
                  <c:v>2.731112497674216</c:v>
                </c:pt>
                <c:pt idx="9">
                  <c:v>3.0340191399695233</c:v>
                </c:pt>
                <c:pt idx="10">
                  <c:v>3.3369257822648297</c:v>
                </c:pt>
                <c:pt idx="11">
                  <c:v>3.6398324245601366</c:v>
                </c:pt>
                <c:pt idx="12">
                  <c:v>3.9427390668554434</c:v>
                </c:pt>
                <c:pt idx="13">
                  <c:v>4.2456457091507502</c:v>
                </c:pt>
                <c:pt idx="14">
                  <c:v>4.5485523514460571</c:v>
                </c:pt>
                <c:pt idx="15">
                  <c:v>4.8514589937413639</c:v>
                </c:pt>
                <c:pt idx="16">
                  <c:v>5.9650665258665985</c:v>
                </c:pt>
                <c:pt idx="17">
                  <c:v>7.078674057991833</c:v>
                </c:pt>
                <c:pt idx="18">
                  <c:v>8.1922815901170676</c:v>
                </c:pt>
                <c:pt idx="19">
                  <c:v>9.3058891222423021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Sections!$A$35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xVal>
            <c:numRef>
              <c:f>'Section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-0.10208689805996866</c:v>
                </c:pt>
                <c:pt idx="2">
                  <c:v>-0.31001397090694477</c:v>
                </c:pt>
                <c:pt idx="3">
                  <c:v>-0.52214686961074364</c:v>
                </c:pt>
                <c:pt idx="4">
                  <c:v>-0.73755949835285617</c:v>
                </c:pt>
                <c:pt idx="5">
                  <c:v>-1.0648925392002133</c:v>
                </c:pt>
                <c:pt idx="6">
                  <c:v>-1.614771633996865</c:v>
                </c:pt>
                <c:pt idx="7">
                  <c:v>-2.1597543112186832</c:v>
                </c:pt>
                <c:pt idx="8">
                  <c:v>-3.1940887017573534</c:v>
                </c:pt>
                <c:pt idx="9">
                  <c:v>-4.1003676083505454</c:v>
                </c:pt>
                <c:pt idx="10">
                  <c:v>-4.8340314403649538</c:v>
                </c:pt>
                <c:pt idx="11">
                  <c:v>-5.373489118999653</c:v>
                </c:pt>
                <c:pt idx="12">
                  <c:v>-5.720118077286096</c:v>
                </c:pt>
                <c:pt idx="13">
                  <c:v>-5.8982642600881148</c:v>
                </c:pt>
                <c:pt idx="14">
                  <c:v>-5.955242124101872</c:v>
                </c:pt>
                <c:pt idx="15">
                  <c:v>-5.9613346378560355</c:v>
                </c:pt>
                <c:pt idx="16">
                  <c:v>-6.0078110847665283</c:v>
                </c:pt>
                <c:pt idx="17">
                  <c:v>-6.0882168120116846</c:v>
                </c:pt>
                <c:pt idx="18">
                  <c:v>-6.2025518195915028</c:v>
                </c:pt>
                <c:pt idx="19">
                  <c:v>-6.3508161075059864</c:v>
                </c:pt>
              </c:numCache>
            </c:numRef>
          </c:xVal>
          <c:yVal>
            <c:numRef>
              <c:f>'Section Calcs'!$V$50:$AO$50</c:f>
              <c:numCache>
                <c:formatCode>0.00</c:formatCode>
                <c:ptCount val="20"/>
                <c:pt idx="0">
                  <c:v>1.1870490124574347</c:v>
                </c:pt>
                <c:pt idx="1">
                  <c:v>1.2236931122702739</c:v>
                </c:pt>
                <c:pt idx="2">
                  <c:v>1.2969813118959526</c:v>
                </c:pt>
                <c:pt idx="3">
                  <c:v>1.3702695115216312</c:v>
                </c:pt>
                <c:pt idx="4">
                  <c:v>1.4435577111473097</c:v>
                </c:pt>
                <c:pt idx="5">
                  <c:v>1.5534900105858276</c:v>
                </c:pt>
                <c:pt idx="6">
                  <c:v>1.7367105096500239</c:v>
                </c:pt>
                <c:pt idx="7">
                  <c:v>1.9199310087142205</c:v>
                </c:pt>
                <c:pt idx="8">
                  <c:v>2.2863720068426137</c:v>
                </c:pt>
                <c:pt idx="9">
                  <c:v>2.6528130049710064</c:v>
                </c:pt>
                <c:pt idx="10">
                  <c:v>3.0192540030993991</c:v>
                </c:pt>
                <c:pt idx="11">
                  <c:v>3.3856950012277922</c:v>
                </c:pt>
                <c:pt idx="12">
                  <c:v>3.7521359993561849</c:v>
                </c:pt>
                <c:pt idx="13">
                  <c:v>4.1185769974845776</c:v>
                </c:pt>
                <c:pt idx="14">
                  <c:v>4.4850179956129708</c:v>
                </c:pt>
                <c:pt idx="15">
                  <c:v>4.8514589937413639</c:v>
                </c:pt>
                <c:pt idx="16">
                  <c:v>5.9527575044260921</c:v>
                </c:pt>
                <c:pt idx="17">
                  <c:v>7.0540560151108211</c:v>
                </c:pt>
                <c:pt idx="18">
                  <c:v>8.1553545257955502</c:v>
                </c:pt>
                <c:pt idx="19">
                  <c:v>9.2566530364802784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Sections!$A$36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'Section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-0.12475018330222053</c:v>
                </c:pt>
                <c:pt idx="2">
                  <c:v>-0.37510746987603932</c:v>
                </c:pt>
                <c:pt idx="3">
                  <c:v>-0.62598766347586121</c:v>
                </c:pt>
                <c:pt idx="4">
                  <c:v>-0.87667410151392333</c:v>
                </c:pt>
                <c:pt idx="5">
                  <c:v>-1.2508484826033388</c:v>
                </c:pt>
                <c:pt idx="6">
                  <c:v>-1.8642258835748</c:v>
                </c:pt>
                <c:pt idx="7">
                  <c:v>-2.4569651199057132</c:v>
                </c:pt>
                <c:pt idx="8">
                  <c:v>-3.5499192493232425</c:v>
                </c:pt>
                <c:pt idx="9">
                  <c:v>-4.4805094454416183</c:v>
                </c:pt>
                <c:pt idx="10">
                  <c:v>-5.2187635200160916</c:v>
                </c:pt>
                <c:pt idx="11">
                  <c:v>-5.7539385219714818</c:v>
                </c:pt>
                <c:pt idx="12">
                  <c:v>-6.0945207374021839</c:v>
                </c:pt>
                <c:pt idx="13">
                  <c:v>-6.2682256895721569</c:v>
                </c:pt>
                <c:pt idx="14">
                  <c:v>-6.3219981389148883</c:v>
                </c:pt>
                <c:pt idx="15">
                  <c:v>-6.3220120830335524</c:v>
                </c:pt>
                <c:pt idx="16">
                  <c:v>-6.2868789083023771</c:v>
                </c:pt>
                <c:pt idx="17">
                  <c:v>-6.3326985013917305</c:v>
                </c:pt>
                <c:pt idx="18">
                  <c:v>-6.459470862301611</c:v>
                </c:pt>
                <c:pt idx="19">
                  <c:v>-6.6671959910320213</c:v>
                </c:pt>
              </c:numCache>
            </c:numRef>
          </c:xVal>
          <c:yVal>
            <c:numRef>
              <c:f>'Section Calcs'!$V$56:$AO$56</c:f>
              <c:numCache>
                <c:formatCode>0.00</c:formatCode>
                <c:ptCount val="20"/>
                <c:pt idx="0">
                  <c:v>0.68797988774569951</c:v>
                </c:pt>
                <c:pt idx="1">
                  <c:v>0.72961467880565611</c:v>
                </c:pt>
                <c:pt idx="2">
                  <c:v>0.81288426092556942</c:v>
                </c:pt>
                <c:pt idx="3">
                  <c:v>0.89615384304548273</c:v>
                </c:pt>
                <c:pt idx="4">
                  <c:v>0.97942342516539604</c:v>
                </c:pt>
                <c:pt idx="5">
                  <c:v>1.104327798345266</c:v>
                </c:pt>
                <c:pt idx="6">
                  <c:v>1.3125017536450492</c:v>
                </c:pt>
                <c:pt idx="7">
                  <c:v>1.5206757089448324</c:v>
                </c:pt>
                <c:pt idx="8">
                  <c:v>1.9370236195443988</c:v>
                </c:pt>
                <c:pt idx="9">
                  <c:v>2.3533715301439653</c:v>
                </c:pt>
                <c:pt idx="10">
                  <c:v>2.7697194407435317</c:v>
                </c:pt>
                <c:pt idx="11">
                  <c:v>3.1860673513430982</c:v>
                </c:pt>
                <c:pt idx="12">
                  <c:v>3.6024152619426646</c:v>
                </c:pt>
                <c:pt idx="13">
                  <c:v>4.018763172542231</c:v>
                </c:pt>
                <c:pt idx="14">
                  <c:v>4.4351110831417975</c:v>
                </c:pt>
                <c:pt idx="15">
                  <c:v>4.8514589937413639</c:v>
                </c:pt>
                <c:pt idx="16">
                  <c:v>5.9404473434502805</c:v>
                </c:pt>
                <c:pt idx="17">
                  <c:v>7.029435693159197</c:v>
                </c:pt>
                <c:pt idx="18">
                  <c:v>8.1184240428681136</c:v>
                </c:pt>
                <c:pt idx="19">
                  <c:v>9.2074123925770301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Sections!$A$37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xVal>
            <c:numRef>
              <c:f>'Section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-0.19038952026832795</c:v>
                </c:pt>
                <c:pt idx="2">
                  <c:v>-0.5572262850790074</c:v>
                </c:pt>
                <c:pt idx="3">
                  <c:v>-0.90627820954820826</c:v>
                </c:pt>
                <c:pt idx="4">
                  <c:v>-1.2384535796070997</c:v>
                </c:pt>
                <c:pt idx="5">
                  <c:v>-1.7069115535751389</c:v>
                </c:pt>
                <c:pt idx="6">
                  <c:v>-2.4145285209136733</c:v>
                </c:pt>
                <c:pt idx="7">
                  <c:v>-3.0398219621256741</c:v>
                </c:pt>
                <c:pt idx="8">
                  <c:v>-4.078598230510269</c:v>
                </c:pt>
                <c:pt idx="9">
                  <c:v>-4.8818779922571665</c:v>
                </c:pt>
                <c:pt idx="10">
                  <c:v>-5.4936836812499967</c:v>
                </c:pt>
                <c:pt idx="11">
                  <c:v>-5.9477089168865716</c:v>
                </c:pt>
                <c:pt idx="12">
                  <c:v>-6.2701799255594999</c:v>
                </c:pt>
                <c:pt idx="13">
                  <c:v>-6.4818156512080227</c:v>
                </c:pt>
                <c:pt idx="14">
                  <c:v>-6.5992012522373464</c:v>
                </c:pt>
                <c:pt idx="15">
                  <c:v>-6.6357700730737044</c:v>
                </c:pt>
                <c:pt idx="16">
                  <c:v>-6.5417224195955015</c:v>
                </c:pt>
                <c:pt idx="17">
                  <c:v>-6.5545155872620544</c:v>
                </c:pt>
                <c:pt idx="18">
                  <c:v>-6.674149576073364</c:v>
                </c:pt>
                <c:pt idx="19">
                  <c:v>-6.9006243860294267</c:v>
                </c:pt>
              </c:numCache>
            </c:numRef>
          </c:xVal>
          <c:yVal>
            <c:numRef>
              <c:f>'Section Calcs'!$V$62:$AO$62</c:f>
              <c:numCache>
                <c:formatCode>0.00</c:formatCode>
                <c:ptCount val="20"/>
                <c:pt idx="0">
                  <c:v>0.32480778077737416</c:v>
                </c:pt>
                <c:pt idx="1">
                  <c:v>0.37007429290701405</c:v>
                </c:pt>
                <c:pt idx="2">
                  <c:v>0.46060731716629388</c:v>
                </c:pt>
                <c:pt idx="3">
                  <c:v>0.55114034142557367</c:v>
                </c:pt>
                <c:pt idx="4">
                  <c:v>0.64167336568485345</c:v>
                </c:pt>
                <c:pt idx="5">
                  <c:v>0.77747290207377318</c:v>
                </c:pt>
                <c:pt idx="6">
                  <c:v>1.0038054627219726</c:v>
                </c:pt>
                <c:pt idx="7">
                  <c:v>1.2301380233701722</c:v>
                </c:pt>
                <c:pt idx="8">
                  <c:v>1.682803144666571</c:v>
                </c:pt>
                <c:pt idx="9">
                  <c:v>2.1354682659629702</c:v>
                </c:pt>
                <c:pt idx="10">
                  <c:v>2.588133387259369</c:v>
                </c:pt>
                <c:pt idx="11">
                  <c:v>3.0407985085557678</c:v>
                </c:pt>
                <c:pt idx="12">
                  <c:v>3.4934636298521666</c:v>
                </c:pt>
                <c:pt idx="13">
                  <c:v>3.9461287511485663</c:v>
                </c:pt>
                <c:pt idx="14">
                  <c:v>4.3987938724449647</c:v>
                </c:pt>
                <c:pt idx="15">
                  <c:v>4.8514589937413639</c:v>
                </c:pt>
                <c:pt idx="16">
                  <c:v>5.9281405899156017</c:v>
                </c:pt>
                <c:pt idx="17">
                  <c:v>7.0048221860898394</c:v>
                </c:pt>
                <c:pt idx="18">
                  <c:v>8.0815037822640772</c:v>
                </c:pt>
                <c:pt idx="19">
                  <c:v>9.1581853784383149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Sections!$A$38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xVal>
            <c:numRef>
              <c:f>'Section Calcs'!$V$72:$AO$72</c:f>
              <c:numCache>
                <c:formatCode>0.00</c:formatCode>
                <c:ptCount val="20"/>
                <c:pt idx="0">
                  <c:v>0</c:v>
                </c:pt>
                <c:pt idx="1">
                  <c:v>-0.23147072826309903</c:v>
                </c:pt>
                <c:pt idx="2">
                  <c:v>-0.67152389363127696</c:v>
                </c:pt>
                <c:pt idx="3">
                  <c:v>-1.0830837141222645</c:v>
                </c:pt>
                <c:pt idx="4">
                  <c:v>-1.4683596726643315</c:v>
                </c:pt>
                <c:pt idx="5">
                  <c:v>-2.0012834142248481</c:v>
                </c:pt>
                <c:pt idx="6">
                  <c:v>-2.7835682692985122</c:v>
                </c:pt>
                <c:pt idx="7">
                  <c:v>-3.4524966098553262</c:v>
                </c:pt>
                <c:pt idx="8">
                  <c:v>-4.5180431511949317</c:v>
                </c:pt>
                <c:pt idx="9">
                  <c:v>-5.3027469262578313</c:v>
                </c:pt>
                <c:pt idx="10">
                  <c:v>-5.876599552323464</c:v>
                </c:pt>
                <c:pt idx="11">
                  <c:v>-6.288118807457856</c:v>
                </c:pt>
                <c:pt idx="12">
                  <c:v>-6.5719973383642332</c:v>
                </c:pt>
                <c:pt idx="13">
                  <c:v>-6.7536995269223912</c:v>
                </c:pt>
                <c:pt idx="14">
                  <c:v>-6.8523385689872871</c:v>
                </c:pt>
                <c:pt idx="15">
                  <c:v>-6.8825403521952069</c:v>
                </c:pt>
                <c:pt idx="16">
                  <c:v>-6.7643808102871965</c:v>
                </c:pt>
                <c:pt idx="17">
                  <c:v>-6.7538348463499638</c:v>
                </c:pt>
                <c:pt idx="18">
                  <c:v>-6.8509024603835087</c:v>
                </c:pt>
                <c:pt idx="19">
                  <c:v>-7.0555836523878313</c:v>
                </c:pt>
              </c:numCache>
            </c:numRef>
          </c:xVal>
          <c:yVal>
            <c:numRef>
              <c:f>'Section Calcs'!$V$68:$AO$68</c:f>
              <c:numCache>
                <c:formatCode>0.00</c:formatCode>
                <c:ptCount val="20"/>
                <c:pt idx="0">
                  <c:v>0.10022341115138911</c:v>
                </c:pt>
                <c:pt idx="1">
                  <c:v>0.14773576697728885</c:v>
                </c:pt>
                <c:pt idx="2">
                  <c:v>0.24276047862908834</c:v>
                </c:pt>
                <c:pt idx="3">
                  <c:v>0.33778519028088783</c:v>
                </c:pt>
                <c:pt idx="4">
                  <c:v>0.43280990193268737</c:v>
                </c:pt>
                <c:pt idx="5">
                  <c:v>0.57534696941038654</c:v>
                </c:pt>
                <c:pt idx="6">
                  <c:v>0.81290874853988526</c:v>
                </c:pt>
                <c:pt idx="7">
                  <c:v>1.050470527669384</c:v>
                </c:pt>
                <c:pt idx="8">
                  <c:v>1.5255940859283814</c:v>
                </c:pt>
                <c:pt idx="9">
                  <c:v>2.0007176441873789</c:v>
                </c:pt>
                <c:pt idx="10">
                  <c:v>2.4758412024463765</c:v>
                </c:pt>
                <c:pt idx="11">
                  <c:v>2.9509647607053737</c:v>
                </c:pt>
                <c:pt idx="12">
                  <c:v>3.4260883189643714</c:v>
                </c:pt>
                <c:pt idx="13">
                  <c:v>3.901211877223369</c:v>
                </c:pt>
                <c:pt idx="14">
                  <c:v>4.3763354354823667</c:v>
                </c:pt>
                <c:pt idx="15">
                  <c:v>4.8514589937413639</c:v>
                </c:pt>
                <c:pt idx="16">
                  <c:v>5.9158241806935772</c:v>
                </c:pt>
                <c:pt idx="17">
                  <c:v>6.9801893676457905</c:v>
                </c:pt>
                <c:pt idx="18">
                  <c:v>8.0445545545980046</c:v>
                </c:pt>
                <c:pt idx="19">
                  <c:v>9.108919741550217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Sections!$A$39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xVal>
            <c:numRef>
              <c:f>'Section Calcs'!$V$78:$AO$78</c:f>
              <c:numCache>
                <c:formatCode>0.00</c:formatCode>
                <c:ptCount val="20"/>
                <c:pt idx="0">
                  <c:v>0</c:v>
                </c:pt>
                <c:pt idx="1">
                  <c:v>-0.29673874731372168</c:v>
                </c:pt>
                <c:pt idx="2">
                  <c:v>-0.84762916965164448</c:v>
                </c:pt>
                <c:pt idx="3">
                  <c:v>-1.3476416600722154</c:v>
                </c:pt>
                <c:pt idx="4">
                  <c:v>-1.8028716209221038</c:v>
                </c:pt>
                <c:pt idx="5">
                  <c:v>-2.412822281225917</c:v>
                </c:pt>
                <c:pt idx="6">
                  <c:v>-3.268489483956996</c:v>
                </c:pt>
                <c:pt idx="7">
                  <c:v>-3.9644628756650735</c:v>
                </c:pt>
                <c:pt idx="8">
                  <c:v>-5.0084368325525626</c:v>
                </c:pt>
                <c:pt idx="9">
                  <c:v>-5.7280578632245298</c:v>
                </c:pt>
                <c:pt idx="10">
                  <c:v>-6.2278642035327723</c:v>
                </c:pt>
                <c:pt idx="11">
                  <c:v>-6.5718288590696341</c:v>
                </c:pt>
                <c:pt idx="12">
                  <c:v>-6.8012958675668722</c:v>
                </c:pt>
                <c:pt idx="13">
                  <c:v>-6.9441729666729124</c:v>
                </c:pt>
                <c:pt idx="14">
                  <c:v>-7.0199797368229166</c:v>
                </c:pt>
                <c:pt idx="15">
                  <c:v>-7.0427788503840265</c:v>
                </c:pt>
                <c:pt idx="16">
                  <c:v>-6.9402745355749627</c:v>
                </c:pt>
                <c:pt idx="17">
                  <c:v>-6.9220601408196778</c:v>
                </c:pt>
                <c:pt idx="18">
                  <c:v>-6.9881356661181702</c:v>
                </c:pt>
                <c:pt idx="19">
                  <c:v>-7.1385011114704451</c:v>
                </c:pt>
              </c:numCache>
            </c:numRef>
          </c:xVal>
          <c:yVal>
            <c:numRef>
              <c:f>'Section Calcs'!$V$74:$AO$74</c:f>
              <c:numCache>
                <c:formatCode>0.00</c:formatCode>
                <c:ptCount val="20"/>
                <c:pt idx="0">
                  <c:v>1.1197446890085949E-2</c:v>
                </c:pt>
                <c:pt idx="1">
                  <c:v>5.9600062358598729E-2</c:v>
                </c:pt>
                <c:pt idx="2">
                  <c:v>0.15640529329562428</c:v>
                </c:pt>
                <c:pt idx="3">
                  <c:v>0.25321052423264989</c:v>
                </c:pt>
                <c:pt idx="4">
                  <c:v>0.35001575516967542</c:v>
                </c:pt>
                <c:pt idx="5">
                  <c:v>0.49522360157521378</c:v>
                </c:pt>
                <c:pt idx="6">
                  <c:v>0.73723667891777767</c:v>
                </c:pt>
                <c:pt idx="7">
                  <c:v>0.97924975626034161</c:v>
                </c:pt>
                <c:pt idx="8">
                  <c:v>1.4632759109454694</c:v>
                </c:pt>
                <c:pt idx="9">
                  <c:v>1.9473020656305973</c:v>
                </c:pt>
                <c:pt idx="10">
                  <c:v>2.4313282203157249</c:v>
                </c:pt>
                <c:pt idx="11">
                  <c:v>2.9153543750008528</c:v>
                </c:pt>
                <c:pt idx="12">
                  <c:v>3.3993805296859803</c:v>
                </c:pt>
                <c:pt idx="13">
                  <c:v>3.8834066843711086</c:v>
                </c:pt>
                <c:pt idx="14">
                  <c:v>4.367432839056236</c:v>
                </c:pt>
                <c:pt idx="15">
                  <c:v>4.8514589937413639</c:v>
                </c:pt>
                <c:pt idx="16">
                  <c:v>5.9035327691977448</c:v>
                </c:pt>
                <c:pt idx="17">
                  <c:v>6.9556065446541258</c:v>
                </c:pt>
                <c:pt idx="18">
                  <c:v>8.0076803201105058</c:v>
                </c:pt>
                <c:pt idx="19">
                  <c:v>9.0597540955668876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Sections!$A$40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xVal>
            <c:numRef>
              <c:f>'Section Calcs'!$V$84:$AO$84</c:f>
              <c:numCache>
                <c:formatCode>0.00</c:formatCode>
                <c:ptCount val="20"/>
                <c:pt idx="0">
                  <c:v>0</c:v>
                </c:pt>
                <c:pt idx="1">
                  <c:v>-0.38327691007826786</c:v>
                </c:pt>
                <c:pt idx="2">
                  <c:v>-1.0712072671753523</c:v>
                </c:pt>
                <c:pt idx="3">
                  <c:v>-1.6703098366310154</c:v>
                </c:pt>
                <c:pt idx="4">
                  <c:v>-2.1959206346143616</c:v>
                </c:pt>
                <c:pt idx="5">
                  <c:v>-2.872089762380106</c:v>
                </c:pt>
                <c:pt idx="6">
                  <c:v>-3.7697261666408775</c:v>
                </c:pt>
                <c:pt idx="7">
                  <c:v>-4.4587562769922533</c:v>
                </c:pt>
                <c:pt idx="8">
                  <c:v>-5.4277215995053592</c:v>
                </c:pt>
                <c:pt idx="9">
                  <c:v>-6.0524959802283389</c:v>
                </c:pt>
                <c:pt idx="10">
                  <c:v>-6.4658817401072417</c:v>
                </c:pt>
                <c:pt idx="11">
                  <c:v>-6.7401463362568315</c:v>
                </c:pt>
                <c:pt idx="12">
                  <c:v>-6.9179856571096687</c:v>
                </c:pt>
                <c:pt idx="13">
                  <c:v>-7.0262459945479785</c:v>
                </c:pt>
                <c:pt idx="14">
                  <c:v>-7.0826540838357497</c:v>
                </c:pt>
                <c:pt idx="15">
                  <c:v>-7.0993863285373875</c:v>
                </c:pt>
                <c:pt idx="16">
                  <c:v>-7.0505917104956772</c:v>
                </c:pt>
                <c:pt idx="17">
                  <c:v>-7.0436921565934139</c:v>
                </c:pt>
                <c:pt idx="18">
                  <c:v>-7.0786876668305974</c:v>
                </c:pt>
                <c:pt idx="19">
                  <c:v>-7.1555782412072286</c:v>
                </c:pt>
              </c:numCache>
            </c:numRef>
          </c:xVal>
          <c:yVal>
            <c:numRef>
              <c:f>'Section Calcs'!$V$80:$AO$80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5.8911876791823943</c:v>
                </c:pt>
                <c:pt idx="17">
                  <c:v>6.9309163646234246</c:v>
                </c:pt>
                <c:pt idx="18">
                  <c:v>7.970645050064455</c:v>
                </c:pt>
                <c:pt idx="19">
                  <c:v>9.0103737355054854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Sections!$A$41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0.48722035761400562</c:v>
                </c:pt>
                <c:pt idx="2">
                  <c:v>1.3209008727909985</c:v>
                </c:pt>
                <c:pt idx="3">
                  <c:v>2.0073208326207683</c:v>
                </c:pt>
                <c:pt idx="4">
                  <c:v>2.5815194313755394</c:v>
                </c:pt>
                <c:pt idx="5">
                  <c:v>3.2846025540624413</c:v>
                </c:pt>
                <c:pt idx="6">
                  <c:v>4.1615189796341889</c:v>
                </c:pt>
                <c:pt idx="7">
                  <c:v>4.795214031363737</c:v>
                </c:pt>
                <c:pt idx="8">
                  <c:v>5.6356020504387363</c:v>
                </c:pt>
                <c:pt idx="9">
                  <c:v>6.1511451292409047</c:v>
                </c:pt>
                <c:pt idx="10">
                  <c:v>6.4847025238582088</c:v>
                </c:pt>
                <c:pt idx="11">
                  <c:v>6.7060750503105959</c:v>
                </c:pt>
                <c:pt idx="12">
                  <c:v>6.8534137209162491</c:v>
                </c:pt>
                <c:pt idx="13">
                  <c:v>6.9493320201251318</c:v>
                </c:pt>
                <c:pt idx="14">
                  <c:v>7.0080848181571458</c:v>
                </c:pt>
                <c:pt idx="15">
                  <c:v>7.0391036724598841</c:v>
                </c:pt>
                <c:pt idx="16">
                  <c:v>7.0745672028940625</c:v>
                </c:pt>
                <c:pt idx="17">
                  <c:v>7.0983723900706526</c:v>
                </c:pt>
                <c:pt idx="18">
                  <c:v>7.1105192339896552</c:v>
                </c:pt>
                <c:pt idx="19">
                  <c:v>7.1110077346510696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5.8789014874420875</c:v>
                </c:pt>
                <c:pt idx="17">
                  <c:v>6.9063439811428102</c:v>
                </c:pt>
                <c:pt idx="18">
                  <c:v>7.9337864748435329</c:v>
                </c:pt>
                <c:pt idx="19">
                  <c:v>8.9612289685442565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Sections!$A$42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'Section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0.70571449868628622</c:v>
                </c:pt>
                <c:pt idx="2">
                  <c:v>1.772966030232586</c:v>
                </c:pt>
                <c:pt idx="3">
                  <c:v>2.5422319141929957</c:v>
                </c:pt>
                <c:pt idx="4">
                  <c:v>3.1234770613226468</c:v>
                </c:pt>
                <c:pt idx="5">
                  <c:v>3.770942288355438</c:v>
                </c:pt>
                <c:pt idx="6">
                  <c:v>4.4983189476229501</c:v>
                </c:pt>
                <c:pt idx="7">
                  <c:v>4.981377470395727</c:v>
                </c:pt>
                <c:pt idx="8">
                  <c:v>5.5879349254714477</c:v>
                </c:pt>
                <c:pt idx="9">
                  <c:v>5.958392126388631</c:v>
                </c:pt>
                <c:pt idx="10">
                  <c:v>6.2122754524313493</c:v>
                </c:pt>
                <c:pt idx="11">
                  <c:v>6.4000796958574666</c:v>
                </c:pt>
                <c:pt idx="12">
                  <c:v>6.546816196096664</c:v>
                </c:pt>
                <c:pt idx="13">
                  <c:v>6.6662878525577449</c:v>
                </c:pt>
                <c:pt idx="14">
                  <c:v>6.7667351848195789</c:v>
                </c:pt>
                <c:pt idx="15">
                  <c:v>6.8533818357117688</c:v>
                </c:pt>
                <c:pt idx="16">
                  <c:v>6.9915309103973096</c:v>
                </c:pt>
                <c:pt idx="17">
                  <c:v>7.0629538318767464</c:v>
                </c:pt>
                <c:pt idx="18">
                  <c:v>7.0676506001500794</c:v>
                </c:pt>
                <c:pt idx="19">
                  <c:v>7.0056212152173085</c:v>
                </c:pt>
              </c:numCache>
            </c:numRef>
          </c:xVal>
          <c:yVal>
            <c:numRef>
              <c:f>'Section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5.8786038578464002</c:v>
                </c:pt>
                <c:pt idx="17">
                  <c:v>6.9057487219514373</c:v>
                </c:pt>
                <c:pt idx="18">
                  <c:v>7.9328935860564744</c:v>
                </c:pt>
                <c:pt idx="19">
                  <c:v>8.9600384501615107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Sections!$A$43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xVal>
            <c:numRef>
              <c:f>'Section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1.1109664277450284</c:v>
                </c:pt>
                <c:pt idx="2">
                  <c:v>2.3978280483407017</c:v>
                </c:pt>
                <c:pt idx="3">
                  <c:v>3.126638937295982</c:v>
                </c:pt>
                <c:pt idx="4">
                  <c:v>3.6003742721758103</c:v>
                </c:pt>
                <c:pt idx="5">
                  <c:v>4.0709689406373499</c:v>
                </c:pt>
                <c:pt idx="6">
                  <c:v>4.5512158841397161</c:v>
                </c:pt>
                <c:pt idx="7">
                  <c:v>4.8568116340061893</c:v>
                </c:pt>
                <c:pt idx="8">
                  <c:v>5.2517921723609415</c:v>
                </c:pt>
                <c:pt idx="9">
                  <c:v>5.522096435965568</c:v>
                </c:pt>
                <c:pt idx="10">
                  <c:v>5.7369231358962072</c:v>
                </c:pt>
                <c:pt idx="11">
                  <c:v>5.922256505490636</c:v>
                </c:pt>
                <c:pt idx="12">
                  <c:v>6.0900449985542737</c:v>
                </c:pt>
                <c:pt idx="13">
                  <c:v>6.2465508094426534</c:v>
                </c:pt>
                <c:pt idx="14">
                  <c:v>6.3953728256965894</c:v>
                </c:pt>
                <c:pt idx="15">
                  <c:v>6.538726431309354</c:v>
                </c:pt>
                <c:pt idx="16">
                  <c:v>6.7827656650744181</c:v>
                </c:pt>
                <c:pt idx="17">
                  <c:v>6.9136492782057637</c:v>
                </c:pt>
                <c:pt idx="18">
                  <c:v>6.931377270703388</c:v>
                </c:pt>
                <c:pt idx="19">
                  <c:v>6.8359496425672939</c:v>
                </c:pt>
              </c:numCache>
            </c:numRef>
          </c:xVal>
          <c:yVal>
            <c:numRef>
              <c:f>'Section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5.8847451797176085</c:v>
                </c:pt>
                <c:pt idx="17">
                  <c:v>6.9180313656938521</c:v>
                </c:pt>
                <c:pt idx="18">
                  <c:v>7.9513175516700958</c:v>
                </c:pt>
                <c:pt idx="19">
                  <c:v>8.9846037376463403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Sections!$A$44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xVal>
            <c:numRef>
              <c:f>'Section Calcs'!$V$105:$AO$105</c:f>
              <c:numCache>
                <c:formatCode>0.00</c:formatCode>
                <c:ptCount val="20"/>
                <c:pt idx="0">
                  <c:v>0</c:v>
                </c:pt>
                <c:pt idx="1">
                  <c:v>1.6373124659651261</c:v>
                </c:pt>
                <c:pt idx="2">
                  <c:v>2.8421088674158774</c:v>
                </c:pt>
                <c:pt idx="3">
                  <c:v>3.3485601983035407</c:v>
                </c:pt>
                <c:pt idx="4">
                  <c:v>3.638625023748765</c:v>
                </c:pt>
                <c:pt idx="5">
                  <c:v>3.9108667157510117</c:v>
                </c:pt>
                <c:pt idx="6">
                  <c:v>4.1904661539225572</c:v>
                </c:pt>
                <c:pt idx="7">
                  <c:v>4.3828336468552376</c:v>
                </c:pt>
                <c:pt idx="8">
                  <c:v>4.6710126725317087</c:v>
                </c:pt>
                <c:pt idx="9">
                  <c:v>4.9076448438686526</c:v>
                </c:pt>
                <c:pt idx="10">
                  <c:v>5.1226448594909533</c:v>
                </c:pt>
                <c:pt idx="11">
                  <c:v>5.3265318356738272</c:v>
                </c:pt>
                <c:pt idx="12">
                  <c:v>5.5239559792605188</c:v>
                </c:pt>
                <c:pt idx="13">
                  <c:v>5.7172906023515528</c:v>
                </c:pt>
                <c:pt idx="14">
                  <c:v>5.9078736968502445</c:v>
                </c:pt>
                <c:pt idx="15">
                  <c:v>6.0965169722775912</c:v>
                </c:pt>
                <c:pt idx="16">
                  <c:v>6.4331605303982027</c:v>
                </c:pt>
                <c:pt idx="17">
                  <c:v>6.6282403633611731</c:v>
                </c:pt>
                <c:pt idx="18">
                  <c:v>6.6817564711665014</c:v>
                </c:pt>
                <c:pt idx="19">
                  <c:v>6.5937088538141868</c:v>
                </c:pt>
              </c:numCache>
            </c:numRef>
          </c:xVal>
          <c:yVal>
            <c:numRef>
              <c:f>'Section Calcs'!$V$102:$AO$102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5.9036065540950489</c:v>
                </c:pt>
                <c:pt idx="17">
                  <c:v>6.9557541144487338</c:v>
                </c:pt>
                <c:pt idx="18">
                  <c:v>8.0079016748024188</c:v>
                </c:pt>
                <c:pt idx="19">
                  <c:v>9.0600492351561037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Sections!$A$45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xVal>
            <c:numRef>
              <c:f>'Section Calcs'!$V$110:$AO$110</c:f>
              <c:numCache>
                <c:formatCode>0.00</c:formatCode>
                <c:ptCount val="20"/>
                <c:pt idx="0">
                  <c:v>0</c:v>
                </c:pt>
                <c:pt idx="1">
                  <c:v>1.8094162004452263</c:v>
                </c:pt>
                <c:pt idx="2">
                  <c:v>2.7097958714154724</c:v>
                </c:pt>
                <c:pt idx="3">
                  <c:v>3.0326389503162288</c:v>
                </c:pt>
                <c:pt idx="4">
                  <c:v>3.2139486543290143</c:v>
                </c:pt>
                <c:pt idx="5">
                  <c:v>3.3902200562433991</c:v>
                </c:pt>
                <c:pt idx="6">
                  <c:v>3.5888356840316447</c:v>
                </c:pt>
                <c:pt idx="7">
                  <c:v>3.742316135428148</c:v>
                </c:pt>
                <c:pt idx="8">
                  <c:v>4.0013775669795768</c:v>
                </c:pt>
                <c:pt idx="9">
                  <c:v>4.2355654425312448</c:v>
                </c:pt>
                <c:pt idx="10">
                  <c:v>4.4595262875995738</c:v>
                </c:pt>
                <c:pt idx="11">
                  <c:v>4.6782941059556737</c:v>
                </c:pt>
                <c:pt idx="12">
                  <c:v>4.8940647519763267</c:v>
                </c:pt>
                <c:pt idx="13">
                  <c:v>5.1079490067987185</c:v>
                </c:pt>
                <c:pt idx="14">
                  <c:v>5.3205691153013746</c:v>
                </c:pt>
                <c:pt idx="15">
                  <c:v>5.5323007610547359</c:v>
                </c:pt>
                <c:pt idx="16">
                  <c:v>5.9326694775794735</c:v>
                </c:pt>
                <c:pt idx="17">
                  <c:v>6.188356162667656</c:v>
                </c:pt>
                <c:pt idx="18">
                  <c:v>6.2993608163192825</c:v>
                </c:pt>
                <c:pt idx="19">
                  <c:v>6.2656834385343565</c:v>
                </c:pt>
              </c:numCache>
            </c:numRef>
          </c:xVal>
          <c:yVal>
            <c:numRef>
              <c:f>'Section Calcs'!$V$107:$AO$107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5.9364157075602337</c:v>
                </c:pt>
                <c:pt idx="17">
                  <c:v>7.0213724213791036</c:v>
                </c:pt>
                <c:pt idx="18">
                  <c:v>8.1063291351979743</c:v>
                </c:pt>
                <c:pt idx="19">
                  <c:v>9.1912858490168432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Sections!$A$46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'Section Calcs'!$V$115:$AO$115</c:f>
              <c:numCache>
                <c:formatCode>0.00</c:formatCode>
                <c:ptCount val="20"/>
                <c:pt idx="0">
                  <c:v>0</c:v>
                </c:pt>
                <c:pt idx="1">
                  <c:v>0.83878579968863121</c:v>
                </c:pt>
                <c:pt idx="2">
                  <c:v>1.6359094304008457</c:v>
                </c:pt>
                <c:pt idx="3">
                  <c:v>2.0334630532521771</c:v>
                </c:pt>
                <c:pt idx="4">
                  <c:v>2.2816992946646897</c:v>
                </c:pt>
                <c:pt idx="5">
                  <c:v>2.529869790935849</c:v>
                </c:pt>
                <c:pt idx="6">
                  <c:v>2.8007017449474758</c:v>
                </c:pt>
                <c:pt idx="7">
                  <c:v>2.9958093060451789</c:v>
                </c:pt>
                <c:pt idx="8">
                  <c:v>3.2983068553410346</c:v>
                </c:pt>
                <c:pt idx="9">
                  <c:v>3.5525164789089536</c:v>
                </c:pt>
                <c:pt idx="10">
                  <c:v>3.7859892947478739</c:v>
                </c:pt>
                <c:pt idx="11">
                  <c:v>4.0086662462326235</c:v>
                </c:pt>
                <c:pt idx="12">
                  <c:v>4.2250096636560812</c:v>
                </c:pt>
                <c:pt idx="13">
                  <c:v>4.4373204191772029</c:v>
                </c:pt>
                <c:pt idx="14">
                  <c:v>4.6469052729781559</c:v>
                </c:pt>
                <c:pt idx="15">
                  <c:v>4.8545614277492115</c:v>
                </c:pt>
                <c:pt idx="16">
                  <c:v>5.2775514468538027</c:v>
                </c:pt>
                <c:pt idx="17">
                  <c:v>5.5818044228133017</c:v>
                </c:pt>
                <c:pt idx="18">
                  <c:v>5.7673203556277057</c:v>
                </c:pt>
                <c:pt idx="19">
                  <c:v>5.8340992452970175</c:v>
                </c:pt>
              </c:numCache>
            </c:numRef>
          </c:xVal>
          <c:yVal>
            <c:numRef>
              <c:f>'Section Calcs'!$V$112:$AO$112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5.9826194095239069</c:v>
                </c:pt>
                <c:pt idx="17">
                  <c:v>7.1137798253064499</c:v>
                </c:pt>
                <c:pt idx="18">
                  <c:v>8.2449402410889938</c:v>
                </c:pt>
                <c:pt idx="19">
                  <c:v>9.3761006568715359</c:v>
                </c:pt>
              </c:numCache>
            </c:numRef>
          </c:yVal>
          <c:smooth val="1"/>
        </c:ser>
        <c:ser>
          <c:idx val="16"/>
          <c:order val="16"/>
          <c:tx>
            <c:strRef>
              <c:f>Sections!$A$47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'Section Calcs'!$V$120:$AO$120</c:f>
              <c:numCache>
                <c:formatCode>0.00</c:formatCode>
                <c:ptCount val="20"/>
                <c:pt idx="0">
                  <c:v>0</c:v>
                </c:pt>
                <c:pt idx="1">
                  <c:v>7.6299081939536662E-2</c:v>
                </c:pt>
                <c:pt idx="2">
                  <c:v>0.23166256354463399</c:v>
                </c:pt>
                <c:pt idx="3">
                  <c:v>0.38999319991863673</c:v>
                </c:pt>
                <c:pt idx="4">
                  <c:v>0.5504608204665512</c:v>
                </c:pt>
                <c:pt idx="5">
                  <c:v>0.79344802606158926</c:v>
                </c:pt>
                <c:pt idx="6">
                  <c:v>1.1984478142557631</c:v>
                </c:pt>
                <c:pt idx="7">
                  <c:v>1.5945826880047596</c:v>
                </c:pt>
                <c:pt idx="8">
                  <c:v>2.3261521245650885</c:v>
                </c:pt>
                <c:pt idx="9">
                  <c:v>2.9350130773052623</c:v>
                </c:pt>
                <c:pt idx="10">
                  <c:v>3.3921308906150656</c:v>
                </c:pt>
                <c:pt idx="11">
                  <c:v>3.6925795117113962</c:v>
                </c:pt>
                <c:pt idx="12">
                  <c:v>3.855541490638255</c:v>
                </c:pt>
                <c:pt idx="13">
                  <c:v>3.9243079802667524</c:v>
                </c:pt>
                <c:pt idx="14">
                  <c:v>3.966278736295076</c:v>
                </c:pt>
                <c:pt idx="15">
                  <c:v>4.0729621172485997</c:v>
                </c:pt>
                <c:pt idx="16">
                  <c:v>4.4714767675480669</c:v>
                </c:pt>
                <c:pt idx="17">
                  <c:v>4.8050159431673585</c:v>
                </c:pt>
                <c:pt idx="18">
                  <c:v>5.0735796441064753</c:v>
                </c:pt>
                <c:pt idx="19">
                  <c:v>5.2771678703654139</c:v>
                </c:pt>
              </c:numCache>
            </c:numRef>
          </c:xVal>
          <c:yVal>
            <c:numRef>
              <c:f>'Section Calcs'!$V$117:$AO$117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6.0424339968151557</c:v>
                </c:pt>
                <c:pt idx="17">
                  <c:v>7.2334089998889466</c:v>
                </c:pt>
                <c:pt idx="18">
                  <c:v>8.4243840029627375</c:v>
                </c:pt>
                <c:pt idx="19">
                  <c:v>9.6153590060365293</c:v>
                </c:pt>
              </c:numCache>
            </c:numRef>
          </c:yVal>
          <c:smooth val="1"/>
        </c:ser>
        <c:ser>
          <c:idx val="17"/>
          <c:order val="17"/>
          <c:tx>
            <c:strRef>
              <c:f>Sections!$A$48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'Section Calcs'!$V$125:$AO$125</c:f>
              <c:numCache>
                <c:formatCode>0.00</c:formatCode>
                <c:ptCount val="20"/>
                <c:pt idx="0">
                  <c:v>0</c:v>
                </c:pt>
                <c:pt idx="1">
                  <c:v>1.2059971625739336E-2</c:v>
                </c:pt>
                <c:pt idx="2">
                  <c:v>4.7140988725535356E-2</c:v>
                </c:pt>
                <c:pt idx="3">
                  <c:v>9.5666280181521957E-2</c:v>
                </c:pt>
                <c:pt idx="4">
                  <c:v>0.15627547164736225</c:v>
                </c:pt>
                <c:pt idx="5">
                  <c:v>0.26699510599819826</c:v>
                </c:pt>
                <c:pt idx="6">
                  <c:v>0.49411233402420351</c:v>
                </c:pt>
                <c:pt idx="7">
                  <c:v>0.75911768617041364</c:v>
                </c:pt>
                <c:pt idx="8">
                  <c:v>1.341060977150446</c:v>
                </c:pt>
                <c:pt idx="9">
                  <c:v>1.9091000609592967</c:v>
                </c:pt>
                <c:pt idx="10">
                  <c:v>2.3910918650051638</c:v>
                </c:pt>
                <c:pt idx="11">
                  <c:v>2.7464751620834469</c:v>
                </c:pt>
                <c:pt idx="12">
                  <c:v>2.9662705703767487</c:v>
                </c:pt>
                <c:pt idx="13">
                  <c:v>3.0730805534548709</c:v>
                </c:pt>
                <c:pt idx="14">
                  <c:v>3.1210894202747914</c:v>
                </c:pt>
                <c:pt idx="15">
                  <c:v>3.19606332518075</c:v>
                </c:pt>
                <c:pt idx="16">
                  <c:v>3.5261888520839832</c:v>
                </c:pt>
                <c:pt idx="17">
                  <c:v>3.8653697100895879</c:v>
                </c:pt>
                <c:pt idx="18">
                  <c:v>4.2136058991975638</c:v>
                </c:pt>
                <c:pt idx="19">
                  <c:v>4.5708974194079124</c:v>
                </c:pt>
              </c:numCache>
            </c:numRef>
          </c:xVal>
          <c:yVal>
            <c:numRef>
              <c:f>'Section Calcs'!$V$122:$AO$122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6.1157594930830559</c:v>
                </c:pt>
                <c:pt idx="17">
                  <c:v>7.3800599924247479</c:v>
                </c:pt>
                <c:pt idx="18">
                  <c:v>8.6443604917664398</c:v>
                </c:pt>
                <c:pt idx="19">
                  <c:v>9.9086609911081318</c:v>
                </c:pt>
              </c:numCache>
            </c:numRef>
          </c:yVal>
          <c:smooth val="1"/>
        </c:ser>
        <c:ser>
          <c:idx val="18"/>
          <c:order val="18"/>
          <c:tx>
            <c:strRef>
              <c:f>Sections!$A$49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'Section Calcs'!$V$130:$AO$130</c:f>
              <c:numCache>
                <c:formatCode>0.00</c:formatCode>
                <c:ptCount val="20"/>
                <c:pt idx="0">
                  <c:v>0</c:v>
                </c:pt>
                <c:pt idx="1">
                  <c:v>1.0380734603302451E-3</c:v>
                </c:pt>
                <c:pt idx="2">
                  <c:v>9.1182819464083516E-3</c:v>
                </c:pt>
                <c:pt idx="3">
                  <c:v>2.4708296996867874E-2</c:v>
                </c:pt>
                <c:pt idx="4">
                  <c:v>4.722854869524927E-2</c:v>
                </c:pt>
                <c:pt idx="5">
                  <c:v>9.2777950264968503E-2</c:v>
                </c:pt>
                <c:pt idx="6">
                  <c:v>0.19562695207683323</c:v>
                </c:pt>
                <c:pt idx="7">
                  <c:v>0.32535011215815635</c:v>
                </c:pt>
                <c:pt idx="8">
                  <c:v>0.6371822332977588</c:v>
                </c:pt>
                <c:pt idx="9">
                  <c:v>0.97856914055256372</c:v>
                </c:pt>
                <c:pt idx="10">
                  <c:v>1.310634740041946</c:v>
                </c:pt>
                <c:pt idx="11">
                  <c:v>1.6053320171358723</c:v>
                </c:pt>
                <c:pt idx="12">
                  <c:v>1.8454430364549019</c:v>
                </c:pt>
                <c:pt idx="13">
                  <c:v>2.0245789418701827</c:v>
                </c:pt>
                <c:pt idx="14">
                  <c:v>2.1471799565034404</c:v>
                </c:pt>
                <c:pt idx="15">
                  <c:v>2.2285153827270259</c:v>
                </c:pt>
                <c:pt idx="16">
                  <c:v>2.4628543779546099</c:v>
                </c:pt>
                <c:pt idx="17">
                  <c:v>2.7842925606295768</c:v>
                </c:pt>
                <c:pt idx="18">
                  <c:v>3.1928299307519277</c:v>
                </c:pt>
                <c:pt idx="19">
                  <c:v>3.6884664883216609</c:v>
                </c:pt>
              </c:numCache>
            </c:numRef>
          </c:xVal>
          <c:yVal>
            <c:numRef>
              <c:f>'Section Calcs'!$V$127:$AO$127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6.2027165508162501</c:v>
                </c:pt>
                <c:pt idx="17">
                  <c:v>7.5539741078911371</c:v>
                </c:pt>
                <c:pt idx="18">
                  <c:v>8.9052316649660241</c:v>
                </c:pt>
                <c:pt idx="19">
                  <c:v>10.25648922204091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Sections!$A$50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'Section Calcs'!$V$135:$AO$135</c:f>
              <c:numCache>
                <c:formatCode>0.00</c:formatCode>
                <c:ptCount val="20"/>
                <c:pt idx="0">
                  <c:v>0</c:v>
                </c:pt>
                <c:pt idx="1">
                  <c:v>1.5267445869010648E-4</c:v>
                </c:pt>
                <c:pt idx="2">
                  <c:v>1.3821705012613875E-3</c:v>
                </c:pt>
                <c:pt idx="3">
                  <c:v>3.8962320303126243E-3</c:v>
                </c:pt>
                <c:pt idx="4">
                  <c:v>7.7517001642435556E-3</c:v>
                </c:pt>
                <c:pt idx="5">
                  <c:v>1.6157498887777906E-2</c:v>
                </c:pt>
                <c:pt idx="6">
                  <c:v>3.7484378513937378E-2</c:v>
                </c:pt>
                <c:pt idx="7">
                  <c:v>6.8309499516827313E-2</c:v>
                </c:pt>
                <c:pt idx="8">
                  <c:v>0.15884523341741333</c:v>
                </c:pt>
                <c:pt idx="9">
                  <c:v>0.28586674278371083</c:v>
                </c:pt>
                <c:pt idx="10">
                  <c:v>0.44318888047380284</c:v>
                </c:pt>
                <c:pt idx="11">
                  <c:v>0.62033931000968223</c:v>
                </c:pt>
                <c:pt idx="12">
                  <c:v>0.80255850557725184</c:v>
                </c:pt>
                <c:pt idx="13">
                  <c:v>0.97079975202632318</c:v>
                </c:pt>
                <c:pt idx="14">
                  <c:v>1.1017291448706124</c:v>
                </c:pt>
                <c:pt idx="15">
                  <c:v>1.1677255902877577</c:v>
                </c:pt>
                <c:pt idx="16">
                  <c:v>1.3100043233101375</c:v>
                </c:pt>
                <c:pt idx="17">
                  <c:v>1.5977088423028389</c:v>
                </c:pt>
                <c:pt idx="18">
                  <c:v>2.030839147265862</c:v>
                </c:pt>
                <c:pt idx="19">
                  <c:v>2.6093952381992067</c:v>
                </c:pt>
              </c:numCache>
            </c:numRef>
          </c:xVal>
          <c:yVal>
            <c:numRef>
              <c:f>'Section Calcs'!$V$132:$AO$132</c:f>
              <c:numCache>
                <c:formatCode>0.00</c:formatCode>
                <c:ptCount val="20"/>
                <c:pt idx="0">
                  <c:v>0</c:v>
                </c:pt>
                <c:pt idx="1">
                  <c:v>4.8514589937413644E-2</c:v>
                </c:pt>
                <c:pt idx="2">
                  <c:v>0.1455437698122409</c:v>
                </c:pt>
                <c:pt idx="3">
                  <c:v>0.24257294968706822</c:v>
                </c:pt>
                <c:pt idx="4">
                  <c:v>0.3396021295618955</c:v>
                </c:pt>
                <c:pt idx="5">
                  <c:v>0.48514589937413644</c:v>
                </c:pt>
                <c:pt idx="6">
                  <c:v>0.72771884906120454</c:v>
                </c:pt>
                <c:pt idx="7">
                  <c:v>0.97029179874827287</c:v>
                </c:pt>
                <c:pt idx="8">
                  <c:v>1.4554376981224091</c:v>
                </c:pt>
                <c:pt idx="9">
                  <c:v>1.9405835974965457</c:v>
                </c:pt>
                <c:pt idx="10">
                  <c:v>2.425729496870682</c:v>
                </c:pt>
                <c:pt idx="11">
                  <c:v>2.9108753962448182</c:v>
                </c:pt>
                <c:pt idx="12">
                  <c:v>3.3960212956189544</c:v>
                </c:pt>
                <c:pt idx="13">
                  <c:v>3.8811671949930915</c:v>
                </c:pt>
                <c:pt idx="14">
                  <c:v>4.3663130943672277</c:v>
                </c:pt>
                <c:pt idx="15">
                  <c:v>4.8514589937413639</c:v>
                </c:pt>
                <c:pt idx="16">
                  <c:v>6.3029825550590042</c:v>
                </c:pt>
                <c:pt idx="17">
                  <c:v>7.7545061163766444</c:v>
                </c:pt>
                <c:pt idx="18">
                  <c:v>9.2060296776942856</c:v>
                </c:pt>
                <c:pt idx="19">
                  <c:v>10.657553239011925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Sections!$A$51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'Section Calcs'!$AK$140:$AO$140</c:f>
              <c:numCache>
                <c:formatCode>0.00</c:formatCode>
                <c:ptCount val="5"/>
                <c:pt idx="0">
                  <c:v>0</c:v>
                </c:pt>
                <c:pt idx="1">
                  <c:v>0.11278119606000885</c:v>
                </c:pt>
                <c:pt idx="2">
                  <c:v>0.36691156815107367</c:v>
                </c:pt>
                <c:pt idx="3">
                  <c:v>0.76239111627319445</c:v>
                </c:pt>
                <c:pt idx="4">
                  <c:v>1.2992198404263713</c:v>
                </c:pt>
              </c:numCache>
            </c:numRef>
          </c:xVal>
          <c:yVal>
            <c:numRef>
              <c:f>'Section Calcs'!$AK$137:$AO$137</c:f>
              <c:numCache>
                <c:formatCode>0.00</c:formatCode>
                <c:ptCount val="5"/>
                <c:pt idx="0">
                  <c:v>4.8514589937413639</c:v>
                </c:pt>
                <c:pt idx="1">
                  <c:v>6.4175142136774248</c:v>
                </c:pt>
                <c:pt idx="2">
                  <c:v>7.9835694336134848</c:v>
                </c:pt>
                <c:pt idx="3">
                  <c:v>9.5496246535495448</c:v>
                </c:pt>
                <c:pt idx="4">
                  <c:v>11.115679873485606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65696"/>
        <c:axId val="128367232"/>
      </c:scatterChart>
      <c:valAx>
        <c:axId val="128365696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367232"/>
        <c:crosses val="autoZero"/>
        <c:crossBetween val="midCat"/>
        <c:majorUnit val="2"/>
      </c:valAx>
      <c:valAx>
        <c:axId val="12836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36569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34628190899001"/>
          <c:y val="1.3093289689034371E-2"/>
          <c:w val="0.10987791342952276"/>
          <c:h val="0.887070376432078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Enclosed Volume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08768035516095E-2"/>
          <c:y val="9.2985318107667206E-2"/>
          <c:w val="0.88346281908989999"/>
          <c:h val="0.78466557911908663"/>
        </c:manualLayout>
      </c:layout>
      <c:scatterChart>
        <c:scatterStyle val="smoothMarker"/>
        <c:varyColors val="0"/>
        <c:ser>
          <c:idx val="0"/>
          <c:order val="0"/>
          <c:tx>
            <c:v>Full Hull</c:v>
          </c:tx>
          <c:xVal>
            <c:numRef>
              <c:f>'Offset Data'!$AV$1:$AV$23</c:f>
              <c:numCache>
                <c:formatCode>0.0</c:formatCode>
                <c:ptCount val="23"/>
                <c:pt idx="0">
                  <c:v>-0.97983685593378311</c:v>
                </c:pt>
                <c:pt idx="1">
                  <c:v>0</c:v>
                </c:pt>
                <c:pt idx="2">
                  <c:v>6.3246769080712024</c:v>
                </c:pt>
                <c:pt idx="3">
                  <c:v>12.649353816142405</c:v>
                </c:pt>
                <c:pt idx="4">
                  <c:v>18.974030724213605</c:v>
                </c:pt>
                <c:pt idx="5">
                  <c:v>25.29870763228481</c:v>
                </c:pt>
                <c:pt idx="6">
                  <c:v>31.623384540356014</c:v>
                </c:pt>
                <c:pt idx="7">
                  <c:v>37.948061448427211</c:v>
                </c:pt>
                <c:pt idx="8">
                  <c:v>44.272738356498415</c:v>
                </c:pt>
                <c:pt idx="9">
                  <c:v>50.597415264569619</c:v>
                </c:pt>
                <c:pt idx="10">
                  <c:v>56.922092172640824</c:v>
                </c:pt>
                <c:pt idx="11">
                  <c:v>63.246769080712028</c:v>
                </c:pt>
                <c:pt idx="12">
                  <c:v>69.571445988783225</c:v>
                </c:pt>
                <c:pt idx="13">
                  <c:v>75.896122896854422</c:v>
                </c:pt>
                <c:pt idx="14">
                  <c:v>82.220799804925633</c:v>
                </c:pt>
                <c:pt idx="15">
                  <c:v>88.54547671299683</c:v>
                </c:pt>
                <c:pt idx="16">
                  <c:v>94.870153621068042</c:v>
                </c:pt>
                <c:pt idx="17">
                  <c:v>101.19483052913924</c:v>
                </c:pt>
                <c:pt idx="18">
                  <c:v>107.51950743721044</c:v>
                </c:pt>
                <c:pt idx="19">
                  <c:v>113.84418434528165</c:v>
                </c:pt>
                <c:pt idx="20">
                  <c:v>120.16886125335284</c:v>
                </c:pt>
                <c:pt idx="21">
                  <c:v>126.49353816142406</c:v>
                </c:pt>
                <c:pt idx="22">
                  <c:v>131.58388589883165</c:v>
                </c:pt>
              </c:numCache>
            </c:numRef>
          </c:xVal>
          <c:yVal>
            <c:numRef>
              <c:f>'Offset Data'!$AX$1:$AX$23</c:f>
              <c:numCache>
                <c:formatCode>0.00</c:formatCode>
                <c:ptCount val="23"/>
                <c:pt idx="0">
                  <c:v>0</c:v>
                </c:pt>
                <c:pt idx="1">
                  <c:v>45.746844908350333</c:v>
                </c:pt>
                <c:pt idx="2">
                  <c:v>55.395290104382148</c:v>
                </c:pt>
                <c:pt idx="3">
                  <c:v>65.153055601487466</c:v>
                </c:pt>
                <c:pt idx="4">
                  <c:v>74.824155106418232</c:v>
                </c:pt>
                <c:pt idx="5">
                  <c:v>84.154441993193259</c:v>
                </c:pt>
                <c:pt idx="6">
                  <c:v>92.828877455675709</c:v>
                </c:pt>
                <c:pt idx="7">
                  <c:v>100.50438046276057</c:v>
                </c:pt>
                <c:pt idx="8">
                  <c:v>106.8250623714023</c:v>
                </c:pt>
                <c:pt idx="9">
                  <c:v>111.44748683486196</c:v>
                </c:pt>
                <c:pt idx="10">
                  <c:v>114.05104827807929</c:v>
                </c:pt>
                <c:pt idx="11">
                  <c:v>114.37433405301107</c:v>
                </c:pt>
                <c:pt idx="12">
                  <c:v>112.88649274341236</c:v>
                </c:pt>
                <c:pt idx="13">
                  <c:v>109.1165620169202</c:v>
                </c:pt>
                <c:pt idx="14">
                  <c:v>103.29732695402168</c:v>
                </c:pt>
                <c:pt idx="15">
                  <c:v>95.398355992472432</c:v>
                </c:pt>
                <c:pt idx="16">
                  <c:v>85.328332936721623</c:v>
                </c:pt>
                <c:pt idx="17">
                  <c:v>73.085261520362423</c:v>
                </c:pt>
                <c:pt idx="18">
                  <c:v>58.728525171621449</c:v>
                </c:pt>
                <c:pt idx="19">
                  <c:v>42.443068034331517</c:v>
                </c:pt>
                <c:pt idx="20">
                  <c:v>24.578350190404578</c:v>
                </c:pt>
                <c:pt idx="21">
                  <c:v>5.7774201588830305</c:v>
                </c:pt>
                <c:pt idx="22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v>Above Water Hull</c:v>
          </c:tx>
          <c:xVal>
            <c:numRef>
              <c:f>'Offset Data'!$AV$2:$AV$22</c:f>
              <c:numCache>
                <c:formatCode>0.0</c:formatCode>
                <c:ptCount val="21"/>
                <c:pt idx="0">
                  <c:v>0</c:v>
                </c:pt>
                <c:pt idx="1">
                  <c:v>6.3246769080712024</c:v>
                </c:pt>
                <c:pt idx="2">
                  <c:v>12.649353816142405</c:v>
                </c:pt>
                <c:pt idx="3">
                  <c:v>18.974030724213605</c:v>
                </c:pt>
                <c:pt idx="4">
                  <c:v>25.29870763228481</c:v>
                </c:pt>
                <c:pt idx="5">
                  <c:v>31.623384540356014</c:v>
                </c:pt>
                <c:pt idx="6">
                  <c:v>37.948061448427211</c:v>
                </c:pt>
                <c:pt idx="7">
                  <c:v>44.272738356498415</c:v>
                </c:pt>
                <c:pt idx="8">
                  <c:v>50.597415264569619</c:v>
                </c:pt>
                <c:pt idx="9">
                  <c:v>56.922092172640824</c:v>
                </c:pt>
                <c:pt idx="10">
                  <c:v>63.246769080712028</c:v>
                </c:pt>
                <c:pt idx="11">
                  <c:v>69.571445988783225</c:v>
                </c:pt>
                <c:pt idx="12">
                  <c:v>75.896122896854422</c:v>
                </c:pt>
                <c:pt idx="13">
                  <c:v>82.220799804925633</c:v>
                </c:pt>
                <c:pt idx="14">
                  <c:v>88.54547671299683</c:v>
                </c:pt>
                <c:pt idx="15">
                  <c:v>94.870153621068042</c:v>
                </c:pt>
                <c:pt idx="16">
                  <c:v>101.19483052913924</c:v>
                </c:pt>
                <c:pt idx="17">
                  <c:v>107.51950743721044</c:v>
                </c:pt>
                <c:pt idx="18">
                  <c:v>113.84418434528165</c:v>
                </c:pt>
                <c:pt idx="19">
                  <c:v>120.16886125335284</c:v>
                </c:pt>
                <c:pt idx="20">
                  <c:v>126.49353816142406</c:v>
                </c:pt>
              </c:numCache>
            </c:numRef>
          </c:xVal>
          <c:yVal>
            <c:numRef>
              <c:f>'Offset Data'!$AR$2:$AR$22</c:f>
              <c:numCache>
                <c:formatCode>0.00</c:formatCode>
                <c:ptCount val="21"/>
                <c:pt idx="0">
                  <c:v>40.76837896685165</c:v>
                </c:pt>
                <c:pt idx="1">
                  <c:v>45.339858945938857</c:v>
                </c:pt>
                <c:pt idx="2">
                  <c:v>48.855738656692822</c:v>
                </c:pt>
                <c:pt idx="3">
                  <c:v>51.617127681186055</c:v>
                </c:pt>
                <c:pt idx="4">
                  <c:v>53.838839613826437</c:v>
                </c:pt>
                <c:pt idx="5">
                  <c:v>55.640047767388317</c:v>
                </c:pt>
                <c:pt idx="6">
                  <c:v>57.070522681653578</c:v>
                </c:pt>
                <c:pt idx="7">
                  <c:v>58.119254289893028</c:v>
                </c:pt>
                <c:pt idx="8">
                  <c:v>58.733099380567069</c:v>
                </c:pt>
                <c:pt idx="9">
                  <c:v>58.820547626151587</c:v>
                </c:pt>
                <c:pt idx="10">
                  <c:v>58.281471291929812</c:v>
                </c:pt>
                <c:pt idx="11">
                  <c:v>57.67188109422743</c:v>
                </c:pt>
                <c:pt idx="12">
                  <c:v>56.526641605949784</c:v>
                </c:pt>
                <c:pt idx="13">
                  <c:v>54.996717139003891</c:v>
                </c:pt>
                <c:pt idx="14">
                  <c:v>52.875595242170313</c:v>
                </c:pt>
                <c:pt idx="15">
                  <c:v>49.795006263982415</c:v>
                </c:pt>
                <c:pt idx="16">
                  <c:v>45.36851546862988</c:v>
                </c:pt>
                <c:pt idx="17">
                  <c:v>39.156970354902441</c:v>
                </c:pt>
                <c:pt idx="18">
                  <c:v>30.726069230616062</c:v>
                </c:pt>
                <c:pt idx="19">
                  <c:v>19.678703988539784</c:v>
                </c:pt>
                <c:pt idx="20">
                  <c:v>5.7774201589011653</c:v>
                </c:pt>
              </c:numCache>
            </c:numRef>
          </c:yVal>
          <c:smooth val="1"/>
        </c:ser>
        <c:ser>
          <c:idx val="1"/>
          <c:order val="2"/>
          <c:tx>
            <c:v>Underwater Hull</c:v>
          </c:tx>
          <c:xVal>
            <c:numRef>
              <c:f>'Cp Calcs'!$C$18:$C$38</c:f>
              <c:numCache>
                <c:formatCode>General</c:formatCode>
                <c:ptCount val="21"/>
                <c:pt idx="0">
                  <c:v>0</c:v>
                </c:pt>
                <c:pt idx="1">
                  <c:v>6.3246769080712024</c:v>
                </c:pt>
                <c:pt idx="2">
                  <c:v>12.649353816142405</c:v>
                </c:pt>
                <c:pt idx="3">
                  <c:v>18.974030724213605</c:v>
                </c:pt>
                <c:pt idx="4">
                  <c:v>25.29870763228481</c:v>
                </c:pt>
                <c:pt idx="5">
                  <c:v>31.62338454035601</c:v>
                </c:pt>
                <c:pt idx="6">
                  <c:v>37.948061448427211</c:v>
                </c:pt>
                <c:pt idx="7">
                  <c:v>44.272738356498415</c:v>
                </c:pt>
                <c:pt idx="8">
                  <c:v>50.597415264569619</c:v>
                </c:pt>
                <c:pt idx="9">
                  <c:v>56.922092172640816</c:v>
                </c:pt>
                <c:pt idx="10">
                  <c:v>63.246769080712021</c:v>
                </c:pt>
                <c:pt idx="11">
                  <c:v>69.571445988783225</c:v>
                </c:pt>
                <c:pt idx="12">
                  <c:v>75.896122896854422</c:v>
                </c:pt>
                <c:pt idx="13">
                  <c:v>82.220799804925633</c:v>
                </c:pt>
                <c:pt idx="14">
                  <c:v>88.54547671299683</c:v>
                </c:pt>
                <c:pt idx="15">
                  <c:v>94.870153621068027</c:v>
                </c:pt>
                <c:pt idx="16">
                  <c:v>101.19483052913924</c:v>
                </c:pt>
                <c:pt idx="17">
                  <c:v>107.51950743721044</c:v>
                </c:pt>
                <c:pt idx="18">
                  <c:v>113.84418434528163</c:v>
                </c:pt>
                <c:pt idx="19">
                  <c:v>120.16886125335283</c:v>
                </c:pt>
                <c:pt idx="20">
                  <c:v>126.49353816142404</c:v>
                </c:pt>
              </c:numCache>
            </c:numRef>
          </c:xVal>
          <c:yVal>
            <c:numRef>
              <c:f>'Cp Calcs'!$D$18:$D$38</c:f>
              <c:numCache>
                <c:formatCode>0.0</c:formatCode>
                <c:ptCount val="21"/>
                <c:pt idx="0">
                  <c:v>4.9784659414986825</c:v>
                </c:pt>
                <c:pt idx="1">
                  <c:v>10.055431158443291</c:v>
                </c:pt>
                <c:pt idx="2">
                  <c:v>16.297316944794641</c:v>
                </c:pt>
                <c:pt idx="3">
                  <c:v>23.20702742523217</c:v>
                </c:pt>
                <c:pt idx="4">
                  <c:v>30.315602379366823</c:v>
                </c:pt>
                <c:pt idx="5">
                  <c:v>37.188829688287392</c:v>
                </c:pt>
                <c:pt idx="6">
                  <c:v>43.433857781106987</c:v>
                </c:pt>
                <c:pt idx="7">
                  <c:v>48.705808081509268</c:v>
                </c:pt>
                <c:pt idx="8">
                  <c:v>52.714387454294894</c:v>
                </c:pt>
                <c:pt idx="9">
                  <c:v>55.230500651927713</c:v>
                </c:pt>
                <c:pt idx="10">
                  <c:v>56.09286276108125</c:v>
                </c:pt>
                <c:pt idx="11">
                  <c:v>55.214611649184938</c:v>
                </c:pt>
                <c:pt idx="12">
                  <c:v>52.589920410970407</c:v>
                </c:pt>
                <c:pt idx="13">
                  <c:v>48.300609815017793</c:v>
                </c:pt>
                <c:pt idx="14">
                  <c:v>42.522760750302112</c:v>
                </c:pt>
                <c:pt idx="15">
                  <c:v>35.533326672739207</c:v>
                </c:pt>
                <c:pt idx="16">
                  <c:v>27.716746051732535</c:v>
                </c:pt>
                <c:pt idx="17">
                  <c:v>19.571554816719008</c:v>
                </c:pt>
                <c:pt idx="18">
                  <c:v>11.716998803715457</c:v>
                </c:pt>
                <c:pt idx="19">
                  <c:v>4.8996462018647922</c:v>
                </c:pt>
                <c:pt idx="20">
                  <c:v>-1.8134651154114019E-11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76416"/>
        <c:axId val="128086784"/>
      </c:scatterChart>
      <c:valAx>
        <c:axId val="128076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Location along Hull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25400"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086784"/>
        <c:crosses val="autoZero"/>
        <c:crossBetween val="midCat"/>
      </c:valAx>
      <c:valAx>
        <c:axId val="128086784"/>
        <c:scaling>
          <c:orientation val="minMax"/>
          <c:min val="0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Sectional Area (sq 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25400">
            <a:solidFill>
              <a:schemeClr val="tx2">
                <a:lumMod val="75000"/>
              </a:schemeClr>
            </a:solidFill>
          </a:ln>
        </c:spPr>
        <c:crossAx val="128076416"/>
        <c:crosses val="max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3.5516093229744729E-2"/>
          <c:y val="0.10310965630114566"/>
          <c:w val="0.14983351831298558"/>
          <c:h val="0.11783960720130933"/>
        </c:manualLayout>
      </c:layout>
      <c:overlay val="0"/>
      <c:spPr>
        <a:solidFill>
          <a:schemeClr val="bg1"/>
        </a:solidFill>
        <a:ln w="19050">
          <a:solidFill>
            <a:srgbClr val="1F497D">
              <a:lumMod val="75000"/>
            </a:srgbClr>
          </a:solidFill>
        </a:ln>
      </c:spPr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Deck Lines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784684045334533E-2"/>
          <c:y val="6.6762042905640334E-2"/>
          <c:w val="0.8981051625662495"/>
          <c:h val="0.27185358931502351"/>
        </c:manualLayout>
      </c:layout>
      <c:scatterChart>
        <c:scatterStyle val="smoothMarker"/>
        <c:varyColors val="0"/>
        <c:ser>
          <c:idx val="5"/>
          <c:order val="0"/>
          <c:tx>
            <c:strRef>
              <c:f>#REF!</c:f>
              <c:strCache>
                <c:ptCount val="1"/>
                <c:pt idx="0">
                  <c:v>15</c:v>
                </c:pt>
              </c:strCache>
            </c:strRef>
          </c:tx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120.98791600989841</c:v>
                </c:pt>
                <c:pt idx="28">
                  <c:v>120.98791600989841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1.0988119532379286</c:v>
                </c:pt>
                <c:pt idx="1">
                  <c:v>1.0988119532379286</c:v>
                </c:pt>
                <c:pt idx="2">
                  <c:v>4.1858216356975575</c:v>
                </c:pt>
                <c:pt idx="3">
                  <c:v>6.9961771736208416</c:v>
                </c:pt>
                <c:pt idx="4">
                  <c:v>8.8278099121326612</c:v>
                </c:pt>
                <c:pt idx="5">
                  <c:v>9.9376401425187399</c:v>
                </c:pt>
                <c:pt idx="6">
                  <c:v>10.547036522997731</c:v>
                </c:pt>
                <c:pt idx="7">
                  <c:v>10.837853635931541</c:v>
                </c:pt>
                <c:pt idx="8">
                  <c:v>10.950116923559657</c:v>
                </c:pt>
                <c:pt idx="9">
                  <c:v>10.981355002257432</c:v>
                </c:pt>
                <c:pt idx="10">
                  <c:v>10.987579355318532</c:v>
                </c:pt>
                <c:pt idx="14">
                  <c:v>10.985911404261252</c:v>
                </c:pt>
                <c:pt idx="18">
                  <c:v>10.926298932467166</c:v>
                </c:pt>
                <c:pt idx="19">
                  <c:v>10.794799473828082</c:v>
                </c:pt>
                <c:pt idx="20">
                  <c:v>10.5204044656205</c:v>
                </c:pt>
                <c:pt idx="21">
                  <c:v>10.012893985167885</c:v>
                </c:pt>
                <c:pt idx="22">
                  <c:v>9.1765358004943245</c:v>
                </c:pt>
                <c:pt idx="23">
                  <c:v>7.9351342562709775</c:v>
                </c:pt>
                <c:pt idx="24">
                  <c:v>6.2632486837350116</c:v>
                </c:pt>
                <c:pt idx="25">
                  <c:v>4.2234827547293552</c:v>
                </c:pt>
                <c:pt idx="26">
                  <c:v>2.0103404050476672</c:v>
                </c:pt>
                <c:pt idx="27">
                  <c:v>6.8289042756916752E-13</c:v>
                </c:pt>
                <c:pt idx="28" formatCode="General">
                  <c:v>0</c:v>
                </c:pt>
              </c:numCache>
            </c:numRef>
          </c:yVal>
          <c:smooth val="1"/>
        </c:ser>
        <c:ser>
          <c:idx val="4"/>
          <c:order val="1"/>
          <c:tx>
            <c:strRef>
              <c:f>#REF!</c:f>
              <c:strCache>
                <c:ptCount val="1"/>
                <c:pt idx="0">
                  <c:v>12.3</c:v>
                </c:pt>
              </c:strCache>
            </c:strRef>
          </c:tx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120.96932718005709</c:v>
                </c:pt>
                <c:pt idx="28">
                  <c:v>120.96932718005709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1.2203726922700449</c:v>
                </c:pt>
                <c:pt idx="1">
                  <c:v>1.2203726922700449</c:v>
                </c:pt>
                <c:pt idx="2">
                  <c:v>4.4227956043923333</c:v>
                </c:pt>
                <c:pt idx="3">
                  <c:v>7.3264565300112983</c:v>
                </c:pt>
                <c:pt idx="4">
                  <c:v>9.1750219339068089</c:v>
                </c:pt>
                <c:pt idx="5">
                  <c:v>10.265805504968116</c:v>
                </c:pt>
                <c:pt idx="6">
                  <c:v>10.844259962274496</c:v>
                </c:pt>
                <c:pt idx="7">
                  <c:v>11.107309174005199</c:v>
                </c:pt>
                <c:pt idx="8">
                  <c:v>11.200578177702701</c:v>
                </c:pt>
                <c:pt idx="9">
                  <c:v>11.222340847072761</c:v>
                </c:pt>
                <c:pt idx="10">
                  <c:v>11.225367969213735</c:v>
                </c:pt>
                <c:pt idx="14">
                  <c:v>11.22375809645588</c:v>
                </c:pt>
                <c:pt idx="18">
                  <c:v>11.161085720292522</c:v>
                </c:pt>
                <c:pt idx="19">
                  <c:v>11.024767969384607</c:v>
                </c:pt>
                <c:pt idx="20">
                  <c:v>10.742511729252334</c:v>
                </c:pt>
                <c:pt idx="21">
                  <c:v>10.223182605500883</c:v>
                </c:pt>
                <c:pt idx="22">
                  <c:v>9.3691943011243364</c:v>
                </c:pt>
                <c:pt idx="23">
                  <c:v>8.1017737533900309</c:v>
                </c:pt>
                <c:pt idx="24">
                  <c:v>6.3934294820754971</c:v>
                </c:pt>
                <c:pt idx="25">
                  <c:v>4.3076518829504087</c:v>
                </c:pt>
                <c:pt idx="26">
                  <c:v>2.044966322443531</c:v>
                </c:pt>
                <c:pt idx="27">
                  <c:v>6.6423262159719019E-13</c:v>
                </c:pt>
                <c:pt idx="28" formatCode="General">
                  <c:v>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#REF!</c:f>
              <c:strCache>
                <c:ptCount val="1"/>
                <c:pt idx="0">
                  <c:v>9.6</c:v>
                </c:pt>
              </c:strCache>
            </c:strRef>
          </c:tx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120.976439073259</c:v>
                </c:pt>
                <c:pt idx="28">
                  <c:v>120.976439073259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0.67947575093546408</c:v>
                </c:pt>
                <c:pt idx="1">
                  <c:v>0.67947575093546408</c:v>
                </c:pt>
                <c:pt idx="2">
                  <c:v>3.6779479902393879</c:v>
                </c:pt>
                <c:pt idx="3">
                  <c:v>6.458897892889544</c:v>
                </c:pt>
                <c:pt idx="4">
                  <c:v>8.4777142790963023</c:v>
                </c:pt>
                <c:pt idx="5">
                  <c:v>9.8388750452748255</c:v>
                </c:pt>
                <c:pt idx="6">
                  <c:v>10.676118832761432</c:v>
                </c:pt>
                <c:pt idx="7">
                  <c:v>11.136633707284499</c:v>
                </c:pt>
                <c:pt idx="8">
                  <c:v>11.354112024955503</c:v>
                </c:pt>
                <c:pt idx="9">
                  <c:v>11.438224736150715</c:v>
                </c:pt>
                <c:pt idx="10">
                  <c:v>11.461564397811857</c:v>
                </c:pt>
                <c:pt idx="14">
                  <c:v>11.459278894118478</c:v>
                </c:pt>
                <c:pt idx="18">
                  <c:v>11.406187136661345</c:v>
                </c:pt>
                <c:pt idx="19">
                  <c:v>11.276819277330949</c:v>
                </c:pt>
                <c:pt idx="20">
                  <c:v>10.994325327997787</c:v>
                </c:pt>
                <c:pt idx="21">
                  <c:v>10.459280367819396</c:v>
                </c:pt>
                <c:pt idx="22">
                  <c:v>9.5672351330648748</c:v>
                </c:pt>
                <c:pt idx="23">
                  <c:v>8.2371188951659295</c:v>
                </c:pt>
                <c:pt idx="24">
                  <c:v>6.448063464776002</c:v>
                </c:pt>
                <c:pt idx="25">
                  <c:v>4.2845193730958115</c:v>
                </c:pt>
                <c:pt idx="26">
                  <c:v>1.98333776768438</c:v>
                </c:pt>
                <c:pt idx="27">
                  <c:v>3.3336245800013198E-13</c:v>
                </c:pt>
                <c:pt idx="28" formatCode="General">
                  <c:v>0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#REF!</c:f>
              <c:strCache>
                <c:ptCount val="1"/>
                <c:pt idx="0">
                  <c:v>6.9</c:v>
                </c:pt>
              </c:strCache>
            </c:strRef>
          </c:tx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121</c:v>
                </c:pt>
                <c:pt idx="28">
                  <c:v>121.02469181095259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8.7563108251158053E-3</c:v>
                </c:pt>
                <c:pt idx="1">
                  <c:v>8.7563108251158053E-3</c:v>
                </c:pt>
                <c:pt idx="2">
                  <c:v>2.2445808174382345</c:v>
                </c:pt>
                <c:pt idx="3">
                  <c:v>4.6746353879250755</c:v>
                </c:pt>
                <c:pt idx="4">
                  <c:v>6.900944567328982</c:v>
                </c:pt>
                <c:pt idx="5">
                  <c:v>8.6828712593347817</c:v>
                </c:pt>
                <c:pt idx="6">
                  <c:v>10.05496189623007</c:v>
                </c:pt>
                <c:pt idx="7">
                  <c:v>10.913955307606619</c:v>
                </c:pt>
                <c:pt idx="8">
                  <c:v>11.371462515541399</c:v>
                </c:pt>
                <c:pt idx="9">
                  <c:v>11.534457253554228</c:v>
                </c:pt>
                <c:pt idx="10">
                  <c:v>11.585508584643064</c:v>
                </c:pt>
                <c:pt idx="14">
                  <c:v>11.584360063293561</c:v>
                </c:pt>
                <c:pt idx="18">
                  <c:v>11.541276566379025</c:v>
                </c:pt>
                <c:pt idx="19">
                  <c:v>11.417038964744615</c:v>
                </c:pt>
                <c:pt idx="20">
                  <c:v>11.13036454624044</c:v>
                </c:pt>
                <c:pt idx="21">
                  <c:v>10.574215339471149</c:v>
                </c:pt>
                <c:pt idx="22">
                  <c:v>9.640015559940025</c:v>
                </c:pt>
                <c:pt idx="23">
                  <c:v>8.249626776357033</c:v>
                </c:pt>
                <c:pt idx="24">
                  <c:v>6.3858737582483984</c:v>
                </c:pt>
                <c:pt idx="25">
                  <c:v>4.1371297915890883</c:v>
                </c:pt>
                <c:pt idx="26">
                  <c:v>1.8297598334096892</c:v>
                </c:pt>
                <c:pt idx="27">
                  <c:v>-2.3577349451030127E-13</c:v>
                </c:pt>
                <c:pt idx="28" formatCode="General">
                  <c:v>0</c:v>
                </c:pt>
              </c:numCache>
            </c:numRef>
          </c:yVal>
          <c:smooth val="1"/>
        </c:ser>
        <c:ser>
          <c:idx val="1"/>
          <c:order val="4"/>
          <c:tx>
            <c:strRef>
              <c:f>#REF!</c:f>
              <c:strCache>
                <c:ptCount val="1"/>
                <c:pt idx="0">
                  <c:v>4.2</c:v>
                </c:pt>
              </c:strCache>
            </c:strRef>
          </c:tx>
          <c:xVal>
            <c:numRef>
              <c:f>#REF!</c:f>
              <c:numCache>
                <c:formatCode>0.00</c:formatCode>
                <c:ptCount val="29"/>
                <c:pt idx="0">
                  <c:v>0.47171862370115036</c:v>
                </c:pt>
                <c:pt idx="1">
                  <c:v>0.47171862370115036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121</c:v>
                </c:pt>
                <c:pt idx="28">
                  <c:v>121.04532342828368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-399.77628741434114</c:v>
                </c:pt>
                <c:pt idx="1">
                  <c:v>-399.77628741434114</c:v>
                </c:pt>
                <c:pt idx="2">
                  <c:v>1.5432079652971136</c:v>
                </c:pt>
                <c:pt idx="3">
                  <c:v>3.4502685419981485</c:v>
                </c:pt>
                <c:pt idx="4">
                  <c:v>5.4493635559008746</c:v>
                </c:pt>
                <c:pt idx="5">
                  <c:v>7.3003346150378299</c:v>
                </c:pt>
                <c:pt idx="6">
                  <c:v>8.8550774247886626</c:v>
                </c:pt>
                <c:pt idx="7">
                  <c:v>10.105704253776803</c:v>
                </c:pt>
                <c:pt idx="8">
                  <c:v>10.900327011976405</c:v>
                </c:pt>
                <c:pt idx="9">
                  <c:v>11.24727574202554</c:v>
                </c:pt>
                <c:pt idx="10">
                  <c:v>11.394993037257327</c:v>
                </c:pt>
                <c:pt idx="14">
                  <c:v>11.42611985368354</c:v>
                </c:pt>
                <c:pt idx="18">
                  <c:v>11.364211635608971</c:v>
                </c:pt>
                <c:pt idx="19">
                  <c:v>11.172502914803092</c:v>
                </c:pt>
                <c:pt idx="20">
                  <c:v>10.770466675339126</c:v>
                </c:pt>
                <c:pt idx="21">
                  <c:v>10.063869070901681</c:v>
                </c:pt>
                <c:pt idx="22">
                  <c:v>8.979227310187655</c:v>
                </c:pt>
                <c:pt idx="23">
                  <c:v>7.4947082478183491</c:v>
                </c:pt>
                <c:pt idx="24">
                  <c:v>5.6545503232267533</c:v>
                </c:pt>
                <c:pt idx="25">
                  <c:v>3.5857276928286881</c:v>
                </c:pt>
                <c:pt idx="26">
                  <c:v>1.5609105156325831</c:v>
                </c:pt>
                <c:pt idx="27">
                  <c:v>-5.9149697683989952E-13</c:v>
                </c:pt>
                <c:pt idx="28" formatCode="General">
                  <c:v>0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#REF!</c:f>
              <c:strCache>
                <c:ptCount val="1"/>
                <c:pt idx="0">
                  <c:v>1.5</c:v>
                </c:pt>
              </c:strCache>
            </c:strRef>
          </c:tx>
          <c:xVal>
            <c:numRef>
              <c:f>#REF!</c:f>
              <c:numCache>
                <c:formatCode>0.00</c:formatCode>
                <c:ptCount val="29"/>
                <c:pt idx="0">
                  <c:v>0.94795222068596274</c:v>
                </c:pt>
                <c:pt idx="1">
                  <c:v>0.94795222068596274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120.57546902039745</c:v>
                </c:pt>
                <c:pt idx="28">
                  <c:v>120.57546902039745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-3385.7372895854369</c:v>
                </c:pt>
                <c:pt idx="1">
                  <c:v>-3385.7372895854369</c:v>
                </c:pt>
                <c:pt idx="2">
                  <c:v>0.51052566206391037</c:v>
                </c:pt>
                <c:pt idx="3">
                  <c:v>1.5765290711174587</c:v>
                </c:pt>
                <c:pt idx="4">
                  <c:v>2.8937707175497334</c:v>
                </c:pt>
                <c:pt idx="5">
                  <c:v>4.3616058013097279</c:v>
                </c:pt>
                <c:pt idx="6">
                  <c:v>5.746153015658729</c:v>
                </c:pt>
                <c:pt idx="7">
                  <c:v>7.0758409474077784</c:v>
                </c:pt>
                <c:pt idx="8">
                  <c:v>8.3702335381048805</c:v>
                </c:pt>
                <c:pt idx="9">
                  <c:v>9.4921650937248998</c:v>
                </c:pt>
                <c:pt idx="10">
                  <c:v>10.143501947473881</c:v>
                </c:pt>
                <c:pt idx="14">
                  <c:v>10.360413932313479</c:v>
                </c:pt>
                <c:pt idx="18">
                  <c:v>10.189151146225111</c:v>
                </c:pt>
                <c:pt idx="19">
                  <c:v>9.6325796613944039</c:v>
                </c:pt>
                <c:pt idx="20">
                  <c:v>8.6960759932590896</c:v>
                </c:pt>
                <c:pt idx="21">
                  <c:v>7.4530616102888674</c:v>
                </c:pt>
                <c:pt idx="22">
                  <c:v>6.0370357816892133</c:v>
                </c:pt>
                <c:pt idx="23">
                  <c:v>4.5829811195332111</c:v>
                </c:pt>
                <c:pt idx="24">
                  <c:v>3.2072648693172749</c:v>
                </c:pt>
                <c:pt idx="25">
                  <c:v>2.0084848796905375</c:v>
                </c:pt>
                <c:pt idx="26">
                  <c:v>0.94621396530249458</c:v>
                </c:pt>
                <c:pt idx="27">
                  <c:v>-2.099773803629758E-13</c:v>
                </c:pt>
                <c:pt idx="28" formatCode="General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36544"/>
        <c:axId val="128246912"/>
      </c:scatterChart>
      <c:valAx>
        <c:axId val="1282365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Length along Hull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246912"/>
        <c:crosses val="autoZero"/>
        <c:crossBetween val="midCat"/>
        <c:majorUnit val="20"/>
      </c:valAx>
      <c:valAx>
        <c:axId val="128246912"/>
        <c:scaling>
          <c:orientation val="minMax"/>
          <c:min val="0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Half Breadth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crossAx val="128236544"/>
        <c:crosses val="max"/>
        <c:crossBetween val="midCat"/>
      </c:valAx>
      <c:spPr>
        <a:solidFill>
          <a:srgbClr val="1F497D">
            <a:lumMod val="20000"/>
            <a:lumOff val="80000"/>
          </a:srgbClr>
        </a:solidFill>
        <a:ln w="25400"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8446170921198668"/>
          <c:y val="6.8739770867430439E-2"/>
          <c:w val="6.9922308546059936E-2"/>
          <c:h val="0.23567921440261866"/>
        </c:manualLayout>
      </c:layout>
      <c:overlay val="0"/>
      <c:spPr>
        <a:solidFill>
          <a:schemeClr val="bg1"/>
        </a:solidFill>
        <a:ln>
          <a:solidFill>
            <a:schemeClr val="tx2">
              <a:lumMod val="75000"/>
            </a:schemeClr>
          </a:solidFill>
        </a:ln>
      </c:spPr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Freeboard &amp; Flare Check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9.2985318107667206E-2"/>
          <c:w val="0.89456159822419534"/>
          <c:h val="0.78466557911908663"/>
        </c:manualLayout>
      </c:layout>
      <c:scatterChart>
        <c:scatterStyle val="smoothMarker"/>
        <c:varyColors val="0"/>
        <c:ser>
          <c:idx val="0"/>
          <c:order val="0"/>
          <c:tx>
            <c:v>Design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</c:spPr>
          </c:marker>
          <c:dLbls>
            <c:delete val="1"/>
          </c:dLbls>
          <c:xVal>
            <c:numRef>
              <c:f>'Fbd Calcs'!$B$2</c:f>
              <c:numCache>
                <c:formatCode>General</c:formatCode>
                <c:ptCount val="1"/>
                <c:pt idx="0">
                  <c:v>126.49353816142404</c:v>
                </c:pt>
              </c:numCache>
            </c:numRef>
          </c:xVal>
          <c:yVal>
            <c:numRef>
              <c:f>'Fbd Calcs'!$C$16</c:f>
              <c:numCache>
                <c:formatCode>0.00</c:formatCode>
                <c:ptCount val="1"/>
                <c:pt idx="0">
                  <c:v>11.106997639199751</c:v>
                </c:pt>
              </c:numCache>
            </c:numRef>
          </c:yVal>
          <c:smooth val="1"/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128284544"/>
        <c:axId val="128291200"/>
      </c:scatterChart>
      <c:valAx>
        <c:axId val="128284544"/>
        <c:scaling>
          <c:orientation val="minMax"/>
          <c:max val="2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LBP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291200"/>
        <c:crosses val="autoZero"/>
        <c:crossBetween val="midCat"/>
      </c:valAx>
      <c:valAx>
        <c:axId val="128291200"/>
        <c:scaling>
          <c:orientation val="minMax"/>
          <c:max val="20"/>
          <c:min val="8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100 * ( A + B + C ) / Lwl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crossAx val="128284544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solidFill>
            <a:schemeClr val="tx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803551609322973"/>
          <c:y val="0.33442088091353994"/>
          <c:w val="9.3229744728079877E-2"/>
          <c:h val="3.915171288743885E-2"/>
        </c:manualLayout>
      </c:layout>
      <c:overlay val="0"/>
      <c:spPr>
        <a:solidFill>
          <a:schemeClr val="bg1"/>
        </a:solidFill>
        <a:ln>
          <a:solidFill>
            <a:srgbClr val="1F497D">
              <a:lumMod val="50000"/>
            </a:srgbClr>
          </a:solidFill>
        </a:ln>
      </c:spPr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Profile</a:t>
            </a:r>
          </a:p>
        </c:rich>
      </c:tx>
      <c:layout>
        <c:manualLayout>
          <c:xMode val="edge"/>
          <c:yMode val="edge"/>
          <c:x val="0.46710627602645077"/>
          <c:y val="3.5971223021582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4234478298209"/>
          <c:y val="0.21582733812949853"/>
          <c:w val="0.67544004300311622"/>
          <c:h val="0.69424460431655088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'Profile Calcs'!$B$59:$B$71</c:f>
              <c:numCache>
                <c:formatCode>0.000</c:formatCode>
                <c:ptCount val="13"/>
                <c:pt idx="0">
                  <c:v>0</c:v>
                </c:pt>
                <c:pt idx="1">
                  <c:v>1.4810933735821541E-3</c:v>
                </c:pt>
                <c:pt idx="2">
                  <c:v>0.14025879429931476</c:v>
                </c:pt>
                <c:pt idx="3">
                  <c:v>0.2076572243163789</c:v>
                </c:pt>
                <c:pt idx="4">
                  <c:v>0.27522121945717948</c:v>
                </c:pt>
                <c:pt idx="5">
                  <c:v>0.34289566643472114</c:v>
                </c:pt>
                <c:pt idx="6">
                  <c:v>0.41062536186426069</c:v>
                </c:pt>
                <c:pt idx="7">
                  <c:v>0.62498714081419982</c:v>
                </c:pt>
                <c:pt idx="8">
                  <c:v>0.81249357040709991</c:v>
                </c:pt>
                <c:pt idx="9">
                  <c:v>0.97314465064296096</c:v>
                </c:pt>
                <c:pt idx="10">
                  <c:v>0.98209643376197397</c:v>
                </c:pt>
                <c:pt idx="11">
                  <c:v>0.99104821688098699</c:v>
                </c:pt>
                <c:pt idx="12">
                  <c:v>1</c:v>
                </c:pt>
              </c:numCache>
            </c:numRef>
          </c:xVal>
          <c:yVal>
            <c:numRef>
              <c:f>'Profile Calcs'!$C$59:$C$71</c:f>
              <c:numCache>
                <c:formatCode>0.000</c:formatCode>
                <c:ptCount val="13"/>
                <c:pt idx="0">
                  <c:v>0</c:v>
                </c:pt>
                <c:pt idx="1">
                  <c:v>0.18167865168539332</c:v>
                </c:pt>
                <c:pt idx="2">
                  <c:v>0.59687757426904331</c:v>
                </c:pt>
                <c:pt idx="3">
                  <c:v>0.77313568519690556</c:v>
                </c:pt>
                <c:pt idx="4">
                  <c:v>0.89913713451170596</c:v>
                </c:pt>
                <c:pt idx="5">
                  <c:v>0.9747791403394277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0.66666666666666674</c:v>
                </c:pt>
                <c:pt idx="11">
                  <c:v>0.33333333333333337</c:v>
                </c:pt>
                <c:pt idx="1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12000"/>
        <c:axId val="128513536"/>
      </c:scatterChart>
      <c:scatterChart>
        <c:scatterStyle val="smoothMarker"/>
        <c:varyColors val="0"/>
        <c:ser>
          <c:idx val="1"/>
          <c:order val="1"/>
          <c:xVal>
            <c:numRef>
              <c:f>'Cp Calcs'!$A$18:$A$38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'Cp Calcs'!$F$18:$F$38</c:f>
              <c:numCache>
                <c:formatCode>0.00</c:formatCode>
                <c:ptCount val="21"/>
                <c:pt idx="0">
                  <c:v>0.85936286996477074</c:v>
                </c:pt>
                <c:pt idx="1">
                  <c:v>1.6013468555422452</c:v>
                </c:pt>
                <c:pt idx="2">
                  <c:v>2.3293987629239994</c:v>
                </c:pt>
                <c:pt idx="3">
                  <c:v>3.0290664229530679</c:v>
                </c:pt>
                <c:pt idx="4">
                  <c:v>3.6644099812839293</c:v>
                </c:pt>
                <c:pt idx="5">
                  <c:v>4.1634791059956644</c:v>
                </c:pt>
                <c:pt idx="6">
                  <c:v>4.5266512129639898</c:v>
                </c:pt>
                <c:pt idx="7">
                  <c:v>4.7512355825899748</c:v>
                </c:pt>
                <c:pt idx="8">
                  <c:v>4.840261546851278</c:v>
                </c:pt>
                <c:pt idx="9">
                  <c:v>4.8514589937413639</c:v>
                </c:pt>
                <c:pt idx="10">
                  <c:v>4.8514589937413639</c:v>
                </c:pt>
                <c:pt idx="11">
                  <c:v>4.8514589937413639</c:v>
                </c:pt>
                <c:pt idx="12">
                  <c:v>4.8514589937413639</c:v>
                </c:pt>
                <c:pt idx="13">
                  <c:v>4.8514589937413639</c:v>
                </c:pt>
                <c:pt idx="14">
                  <c:v>4.8514589937413639</c:v>
                </c:pt>
                <c:pt idx="15">
                  <c:v>4.8514589937413639</c:v>
                </c:pt>
                <c:pt idx="16">
                  <c:v>4.8514589937413639</c:v>
                </c:pt>
                <c:pt idx="17">
                  <c:v>4.8514589937413639</c:v>
                </c:pt>
                <c:pt idx="18">
                  <c:v>4.8514589937413639</c:v>
                </c:pt>
                <c:pt idx="19">
                  <c:v>4.8514589937413639</c:v>
                </c:pt>
                <c:pt idx="2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15072"/>
        <c:axId val="128647936"/>
      </c:scatterChart>
      <c:valAx>
        <c:axId val="128512000"/>
        <c:scaling>
          <c:orientation val="minMax"/>
          <c:max val="1"/>
        </c:scaling>
        <c:delete val="0"/>
        <c:axPos val="t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0.000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13536"/>
        <c:crosses val="autoZero"/>
        <c:crossBetween val="midCat"/>
      </c:valAx>
      <c:valAx>
        <c:axId val="128513536"/>
        <c:scaling>
          <c:orientation val="maxMin"/>
          <c:max val="1"/>
          <c:min val="0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12000"/>
        <c:crosses val="autoZero"/>
        <c:crossBetween val="midCat"/>
      </c:valAx>
      <c:valAx>
        <c:axId val="1285150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28647936"/>
        <c:crosses val="autoZero"/>
        <c:crossBetween val="midCat"/>
      </c:valAx>
      <c:valAx>
        <c:axId val="12864793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crossAx val="128515072"/>
        <c:crosses val="max"/>
        <c:crossBetween val="midCat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52822681617089"/>
          <c:y val="0.52877685253372098"/>
          <c:w val="0.97407955630987819"/>
          <c:h val="0.6272580675616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'CWD Opt3 Calcs'!$A$26:$A$46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Opt3 Calcs'!$B$26:$B$46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0.68976171921482166</c:v>
                </c:pt>
                <c:pt idx="2">
                  <c:v>0.7684925722926359</c:v>
                </c:pt>
                <c:pt idx="3">
                  <c:v>0.8386870734197055</c:v>
                </c:pt>
                <c:pt idx="4">
                  <c:v>0.89725938056030208</c:v>
                </c:pt>
                <c:pt idx="5">
                  <c:v>0.94299851733482409</c:v>
                </c:pt>
                <c:pt idx="6">
                  <c:v>0.97595666906991263</c:v>
                </c:pt>
                <c:pt idx="7">
                  <c:v>0.99691555302056334</c:v>
                </c:pt>
                <c:pt idx="8">
                  <c:v>1.0069308627642357</c:v>
                </c:pt>
                <c:pt idx="9">
                  <c:v>1.0069547867669562</c:v>
                </c:pt>
                <c:pt idx="10">
                  <c:v>0.99753660112142484</c:v>
                </c:pt>
                <c:pt idx="11">
                  <c:v>0.97860133645710967</c:v>
                </c:pt>
                <c:pt idx="12">
                  <c:v>0.94930651902234553</c:v>
                </c:pt>
                <c:pt idx="13">
                  <c:v>0.90797698593842491</c:v>
                </c:pt>
                <c:pt idx="14">
                  <c:v>0.85211777462568716</c:v>
                </c:pt>
                <c:pt idx="15">
                  <c:v>0.77850508640160254</c:v>
                </c:pt>
                <c:pt idx="16">
                  <c:v>0.68335532425086365</c:v>
                </c:pt>
                <c:pt idx="17">
                  <c:v>0.56257220476744862</c:v>
                </c:pt>
                <c:pt idx="18">
                  <c:v>0.41207194426871263</c:v>
                </c:pt>
                <c:pt idx="19">
                  <c:v>0.22818651908145426</c:v>
                </c:pt>
                <c:pt idx="20">
                  <c:v>8.1449999999776423E-3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25856"/>
        <c:axId val="129227392"/>
      </c:scatterChart>
      <c:valAx>
        <c:axId val="1292258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9227392"/>
        <c:crosses val="autoZero"/>
        <c:crossBetween val="midCat"/>
      </c:valAx>
      <c:valAx>
        <c:axId val="129227392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29225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circle"/>
            <c:size val="4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rgbClr val="EEECE1">
                    <a:lumMod val="25000"/>
                  </a:srgbClr>
                </a:solidFill>
              </a:ln>
            </c:spPr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-63.246769080712021</c:v>
                </c:pt>
                <c:pt idx="1">
                  <c:v>-56.413057398900058</c:v>
                </c:pt>
                <c:pt idx="2">
                  <c:v>-49.579345717088096</c:v>
                </c:pt>
                <c:pt idx="3">
                  <c:v>-42.745634035276133</c:v>
                </c:pt>
                <c:pt idx="4">
                  <c:v>-35.91192235346417</c:v>
                </c:pt>
                <c:pt idx="5">
                  <c:v>-29.078210671652208</c:v>
                </c:pt>
                <c:pt idx="6">
                  <c:v>-22.244498989840245</c:v>
                </c:pt>
                <c:pt idx="7">
                  <c:v>-15.410787308028283</c:v>
                </c:pt>
                <c:pt idx="8">
                  <c:v>-8.5770756262163204</c:v>
                </c:pt>
                <c:pt idx="9">
                  <c:v>-1.7433639444043578</c:v>
                </c:pt>
                <c:pt idx="10">
                  <c:v>5.0903477374075976</c:v>
                </c:pt>
                <c:pt idx="11">
                  <c:v>0</c:v>
                </c:pt>
                <c:pt idx="12" formatCode="0.00">
                  <c:v>-1.1323427195776656</c:v>
                </c:pt>
                <c:pt idx="13" formatCode="0.00">
                  <c:v>-2.2646854391553313</c:v>
                </c:pt>
                <c:pt idx="14" formatCode="0.00">
                  <c:v>-3.3970281587329967</c:v>
                </c:pt>
                <c:pt idx="15" formatCode="0.00">
                  <c:v>-23.718351707221874</c:v>
                </c:pt>
                <c:pt idx="16" formatCode="0.00">
                  <c:v>-47.436703414443748</c:v>
                </c:pt>
                <c:pt idx="17" formatCode="0.00">
                  <c:v>-74.55208328039862</c:v>
                </c:pt>
                <c:pt idx="18" formatCode="0.00">
                  <c:v>-83.119452093876717</c:v>
                </c:pt>
                <c:pt idx="19" formatCode="0.00">
                  <c:v>-91.679832335183647</c:v>
                </c:pt>
                <c:pt idx="20" formatCode="0.00">
                  <c:v>-100.22624113286477</c:v>
                </c:pt>
                <c:pt idx="21" formatCode="0.00">
                  <c:v>-108.75170701224835</c:v>
                </c:pt>
                <c:pt idx="22" formatCode="0.00">
                  <c:v>-126.3061894202522</c:v>
                </c:pt>
                <c:pt idx="23">
                  <c:v>-126.49353816142404</c:v>
                </c:pt>
                <c:pt idx="24" formatCode="0.00">
                  <c:v>-127.47337501735782</c:v>
                </c:pt>
                <c:pt idx="25" formatCode="0.000">
                  <c:v>-121.05071442369319</c:v>
                </c:pt>
                <c:pt idx="26" formatCode="0.000">
                  <c:v>-114.62805383002862</c:v>
                </c:pt>
                <c:pt idx="27" formatCode="0.000">
                  <c:v>-108.20539323636405</c:v>
                </c:pt>
                <c:pt idx="28" formatCode="0.000">
                  <c:v>-101.78273264269947</c:v>
                </c:pt>
                <c:pt idx="29" formatCode="0.000">
                  <c:v>-95.360072049034898</c:v>
                </c:pt>
                <c:pt idx="30" formatCode="0.000">
                  <c:v>-88.937411455370324</c:v>
                </c:pt>
                <c:pt idx="31" formatCode="0.000">
                  <c:v>-82.51475086170575</c:v>
                </c:pt>
                <c:pt idx="32" formatCode="0.000">
                  <c:v>-76.092090268041176</c:v>
                </c:pt>
                <c:pt idx="33" formatCode="0.000">
                  <c:v>-69.669429674376602</c:v>
                </c:pt>
                <c:pt idx="34">
                  <c:v>-63.246769080712021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8.9612289685442565</c:v>
                </c:pt>
                <c:pt idx="1">
                  <c:v>8.992473468544258</c:v>
                </c:pt>
                <c:pt idx="2">
                  <c:v>9.0869969685442573</c:v>
                </c:pt>
                <c:pt idx="3">
                  <c:v>9.244799468544258</c:v>
                </c:pt>
                <c:pt idx="4">
                  <c:v>9.4658809685442566</c:v>
                </c:pt>
                <c:pt idx="5">
                  <c:v>9.7502414685442567</c:v>
                </c:pt>
                <c:pt idx="6">
                  <c:v>10.097880968544258</c:v>
                </c:pt>
                <c:pt idx="7">
                  <c:v>10.508799468544256</c:v>
                </c:pt>
                <c:pt idx="8">
                  <c:v>10.982996968544258</c:v>
                </c:pt>
                <c:pt idx="9">
                  <c:v>11.520473468544258</c:v>
                </c:pt>
                <c:pt idx="10">
                  <c:v>12.121228968544258</c:v>
                </c:pt>
                <c:pt idx="11">
                  <c:v>4.8514589937413639</c:v>
                </c:pt>
                <c:pt idx="12">
                  <c:v>3.2343059958275759</c:v>
                </c:pt>
                <c:pt idx="13">
                  <c:v>1.617152997913788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0.12235796643017238</c:v>
                </c:pt>
                <c:pt idx="19">
                  <c:v>0.48933205590770967</c:v>
                </c:pt>
                <c:pt idx="20">
                  <c:v>1.1006229204104443</c:v>
                </c:pt>
                <c:pt idx="21">
                  <c:v>1.9557319178912849</c:v>
                </c:pt>
                <c:pt idx="22">
                  <c:v>3.9700524650514581</c:v>
                </c:pt>
                <c:pt idx="23">
                  <c:v>4.8514589937413639</c:v>
                </c:pt>
                <c:pt idx="24">
                  <c:v>9.4612289685442565</c:v>
                </c:pt>
                <c:pt idx="25">
                  <c:v>9.4112289685442629</c:v>
                </c:pt>
                <c:pt idx="26">
                  <c:v>9.3612289685442622</c:v>
                </c:pt>
                <c:pt idx="27">
                  <c:v>9.3112289685442615</c:v>
                </c:pt>
                <c:pt idx="28">
                  <c:v>9.2612289685442608</c:v>
                </c:pt>
                <c:pt idx="29">
                  <c:v>9.2112289685442601</c:v>
                </c:pt>
                <c:pt idx="30">
                  <c:v>9.1612289685442594</c:v>
                </c:pt>
                <c:pt idx="31">
                  <c:v>9.1112289685442587</c:v>
                </c:pt>
                <c:pt idx="32">
                  <c:v>9.061228968544258</c:v>
                </c:pt>
                <c:pt idx="33">
                  <c:v>9.0112289685442573</c:v>
                </c:pt>
                <c:pt idx="34">
                  <c:v>8.9612289685442565</c:v>
                </c:pt>
              </c:numCache>
            </c:numRef>
          </c:yVal>
          <c:smooth val="0"/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-126.49353816142404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4.8514589937413639</c:v>
                </c:pt>
                <c:pt idx="1">
                  <c:v>4.8514589937413639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-3.3970281587329967</c:v>
                </c:pt>
                <c:pt idx="1">
                  <c:v>-3.3970281587329967</c:v>
                </c:pt>
                <c:pt idx="2">
                  <c:v>-3.3970281587329967</c:v>
                </c:pt>
                <c:pt idx="3">
                  <c:v>-5.3970281587329971</c:v>
                </c:pt>
                <c:pt idx="4">
                  <c:v>-8.434428158732997</c:v>
                </c:pt>
                <c:pt idx="5">
                  <c:v>-9.3240281587329967</c:v>
                </c:pt>
                <c:pt idx="6">
                  <c:v>-19.117628158732995</c:v>
                </c:pt>
                <c:pt idx="7">
                  <c:v>-19.866528158732997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-1.0114000000000001</c:v>
                </c:pt>
                <c:pt idx="3">
                  <c:v>-3.0114000000000001</c:v>
                </c:pt>
                <c:pt idx="4">
                  <c:v>-3.0114000000000001</c:v>
                </c:pt>
                <c:pt idx="5">
                  <c:v>-2.9316</c:v>
                </c:pt>
                <c:pt idx="6">
                  <c:v>-1.1608000000000001</c:v>
                </c:pt>
                <c:pt idx="7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v>Ref Lines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'Profile Calcs'!$P$27:$P$34</c:f>
              <c:numCache>
                <c:formatCode>0.00</c:formatCode>
                <c:ptCount val="8"/>
                <c:pt idx="0">
                  <c:v>-63.246769080712021</c:v>
                </c:pt>
                <c:pt idx="1">
                  <c:v>2.8776919166649146</c:v>
                </c:pt>
                <c:pt idx="2">
                  <c:v>0</c:v>
                </c:pt>
                <c:pt idx="3">
                  <c:v>-3.3970281587329967</c:v>
                </c:pt>
                <c:pt idx="4">
                  <c:v>-91.707815167032422</c:v>
                </c:pt>
                <c:pt idx="5">
                  <c:v>-126.3061894202522</c:v>
                </c:pt>
                <c:pt idx="6">
                  <c:v>-127.36709673652281</c:v>
                </c:pt>
                <c:pt idx="7">
                  <c:v>-63.246769080712021</c:v>
                </c:pt>
              </c:numCache>
            </c:numRef>
          </c:xVal>
          <c:yVal>
            <c:numRef>
              <c:f>'Profile Calcs'!$Q$27:$Q$34</c:f>
              <c:numCache>
                <c:formatCode>0.00</c:formatCode>
                <c:ptCount val="8"/>
                <c:pt idx="0">
                  <c:v>8.9612289685442565</c:v>
                </c:pt>
                <c:pt idx="1">
                  <c:v>8.9612289685442565</c:v>
                </c:pt>
                <c:pt idx="2">
                  <c:v>4.8514589937413639</c:v>
                </c:pt>
                <c:pt idx="3">
                  <c:v>0</c:v>
                </c:pt>
                <c:pt idx="4">
                  <c:v>0</c:v>
                </c:pt>
                <c:pt idx="5">
                  <c:v>3.9700524650514581</c:v>
                </c:pt>
                <c:pt idx="6">
                  <c:v>8.9612289685442565</c:v>
                </c:pt>
                <c:pt idx="7">
                  <c:v>8.9612289685442565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54080"/>
        <c:axId val="111455616"/>
      </c:scatterChart>
      <c:valAx>
        <c:axId val="111454080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1455616"/>
        <c:crossesAt val="-250"/>
        <c:crossBetween val="midCat"/>
        <c:majorUnit val="25"/>
      </c:valAx>
      <c:valAx>
        <c:axId val="111455616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11454080"/>
        <c:crossesAt val="-250"/>
        <c:crossBetween val="midCat"/>
        <c:majorUnit val="5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8884881243573732"/>
          <c:y val="0.86905095196433779"/>
          <c:w val="0.22085452931707217"/>
          <c:h val="9.523851185268505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Selected'!$C$4:$C$24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0.7149726843913502</c:v>
                </c:pt>
                <c:pt idx="2">
                  <c:v>0.78109592776704762</c:v>
                </c:pt>
                <c:pt idx="3">
                  <c:v>0.82432248110834339</c:v>
                </c:pt>
                <c:pt idx="4">
                  <c:v>0.85687702582528769</c:v>
                </c:pt>
                <c:pt idx="5">
                  <c:v>0.88615828682813158</c:v>
                </c:pt>
                <c:pt idx="6">
                  <c:v>0.91549614559872561</c:v>
                </c:pt>
                <c:pt idx="7">
                  <c:v>0.94490875326191981</c:v>
                </c:pt>
                <c:pt idx="8">
                  <c:v>0.97185964365696431</c:v>
                </c:pt>
                <c:pt idx="9">
                  <c:v>0.99201484640890902</c:v>
                </c:pt>
                <c:pt idx="10">
                  <c:v>1.0000000000000036</c:v>
                </c:pt>
                <c:pt idx="11">
                  <c:v>0.99015746484109912</c:v>
                </c:pt>
                <c:pt idx="12">
                  <c:v>0.95730343634304282</c:v>
                </c:pt>
                <c:pt idx="13">
                  <c:v>0.89748505798808642</c:v>
                </c:pt>
                <c:pt idx="14">
                  <c:v>0.80873753440128393</c:v>
                </c:pt>
                <c:pt idx="15">
                  <c:v>0.69184124442187489</c:v>
                </c:pt>
                <c:pt idx="16">
                  <c:v>0.55107885417471891</c:v>
                </c:pt>
                <c:pt idx="17">
                  <c:v>0.39499243014166296</c:v>
                </c:pt>
                <c:pt idx="18">
                  <c:v>0.23714055223295816</c:v>
                </c:pt>
                <c:pt idx="19">
                  <c:v>9.6855426858642346E-2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Selected'!$D$4:$D$24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0.77066853818811043</c:v>
                </c:pt>
                <c:pt idx="2">
                  <c:v>0.82731456912873114</c:v>
                </c:pt>
                <c:pt idx="3">
                  <c:v>0.8388873874544881</c:v>
                </c:pt>
                <c:pt idx="4">
                  <c:v>0.84188719619437435</c:v>
                </c:pt>
                <c:pt idx="5">
                  <c:v>0.85439069676975332</c:v>
                </c:pt>
                <c:pt idx="6">
                  <c:v>0.88124854873374492</c:v>
                </c:pt>
                <c:pt idx="7">
                  <c:v>0.91859969925399954</c:v>
                </c:pt>
                <c:pt idx="8">
                  <c:v>0.95770258233886107</c:v>
                </c:pt>
                <c:pt idx="9">
                  <c:v>0.9880831878069134</c:v>
                </c:pt>
                <c:pt idx="10">
                  <c:v>0.99999999999991185</c:v>
                </c:pt>
                <c:pt idx="11">
                  <c:v>0.98622580623910538</c:v>
                </c:pt>
                <c:pt idx="12">
                  <c:v>0.94314637502494758</c:v>
                </c:pt>
                <c:pt idx="13">
                  <c:v>0.87117600398016393</c:v>
                </c:pt>
                <c:pt idx="14">
                  <c:v>0.77448993753629836</c:v>
                </c:pt>
                <c:pt idx="15">
                  <c:v>0.66007365436348664</c:v>
                </c:pt>
                <c:pt idx="16">
                  <c:v>0.53608902454377905</c:v>
                </c:pt>
                <c:pt idx="17">
                  <c:v>0.40955733648778292</c:v>
                </c:pt>
                <c:pt idx="18">
                  <c:v>0.28335919359457762</c:v>
                </c:pt>
                <c:pt idx="19">
                  <c:v>0.15255128065530954</c:v>
                </c:pt>
                <c:pt idx="20">
                  <c:v>-1.5631940186722204E-13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Selected'!$E$4:$E$24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0.66925327285799885</c:v>
                </c:pt>
                <c:pt idx="2">
                  <c:v>0.7277972723334829</c:v>
                </c:pt>
                <c:pt idx="3">
                  <c:v>0.78484025589652306</c:v>
                </c:pt>
                <c:pt idx="4">
                  <c:v>0.83969717409136657</c:v>
                </c:pt>
                <c:pt idx="5">
                  <c:v>0.89050120538174504</c:v>
                </c:pt>
                <c:pt idx="6">
                  <c:v>0.93469629148079614</c:v>
                </c:pt>
                <c:pt idx="7">
                  <c:v>0.96945567316559722</c:v>
                </c:pt>
                <c:pt idx="8">
                  <c:v>0.99202642657631113</c:v>
                </c:pt>
                <c:pt idx="9">
                  <c:v>0.99999999999994815</c:v>
                </c:pt>
                <c:pt idx="10">
                  <c:v>0.99150875113873571</c:v>
                </c:pt>
                <c:pt idx="11">
                  <c:v>0.96534848486310576</c:v>
                </c:pt>
                <c:pt idx="12">
                  <c:v>0.92102699144929068</c:v>
                </c:pt>
                <c:pt idx="13">
                  <c:v>0.8587385853015379</c:v>
                </c:pt>
                <c:pt idx="14">
                  <c:v>0.77926464415892849</c:v>
                </c:pt>
                <c:pt idx="15">
                  <c:v>0.68380014878681705</c:v>
                </c:pt>
                <c:pt idx="16">
                  <c:v>0.57370622315288178</c:v>
                </c:pt>
                <c:pt idx="17">
                  <c:v>0.45018867508778548</c:v>
                </c:pt>
                <c:pt idx="18">
                  <c:v>0.31390253743044694</c:v>
                </c:pt>
                <c:pt idx="19">
                  <c:v>0.16448260965793526</c:v>
                </c:pt>
                <c:pt idx="20">
                  <c:v>-3.1974423109204508E-14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Selected'!$F$4:$F$24</c:f>
              <c:numCache>
                <c:formatCode>0.0000</c:formatCode>
                <c:ptCount val="21"/>
                <c:pt idx="0">
                  <c:v>0.74474755213131949</c:v>
                </c:pt>
                <c:pt idx="1">
                  <c:v>0.72884408403159273</c:v>
                </c:pt>
                <c:pt idx="2">
                  <c:v>0.76453541332135744</c:v>
                </c:pt>
                <c:pt idx="3">
                  <c:v>0.82602414130586765</c:v>
                </c:pt>
                <c:pt idx="4">
                  <c:v>0.88751286929037787</c:v>
                </c:pt>
                <c:pt idx="5">
                  <c:v>0.92950806475530345</c:v>
                </c:pt>
                <c:pt idx="6">
                  <c:v>0.96250428976345936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0.99623348176267978</c:v>
                </c:pt>
                <c:pt idx="11">
                  <c:v>0.95273845788829259</c:v>
                </c:pt>
                <c:pt idx="12">
                  <c:v>0.89874463514767389</c:v>
                </c:pt>
                <c:pt idx="13">
                  <c:v>0.84325522080101001</c:v>
                </c:pt>
                <c:pt idx="14">
                  <c:v>0.75926482987115884</c:v>
                </c:pt>
                <c:pt idx="15">
                  <c:v>0.65727649802776811</c:v>
                </c:pt>
                <c:pt idx="16">
                  <c:v>0.5447936041215623</c:v>
                </c:pt>
                <c:pt idx="17">
                  <c:v>0.44130544386870996</c:v>
                </c:pt>
                <c:pt idx="18">
                  <c:v>0.27023603231833648</c:v>
                </c:pt>
                <c:pt idx="19">
                  <c:v>0.14006872095141659</c:v>
                </c:pt>
                <c:pt idx="2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93696"/>
        <c:axId val="129299584"/>
      </c:scatterChart>
      <c:valAx>
        <c:axId val="1292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299584"/>
        <c:crosses val="autoZero"/>
        <c:crossBetween val="midCat"/>
      </c:valAx>
      <c:valAx>
        <c:axId val="129299584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29293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Selected'!$C$52:$C$72</c:f>
              <c:numCache>
                <c:formatCode>0.0000</c:formatCode>
                <c:ptCount val="21"/>
                <c:pt idx="0">
                  <c:v>0.6</c:v>
                </c:pt>
                <c:pt idx="1">
                  <c:v>0.71393558022071069</c:v>
                </c:pt>
                <c:pt idx="2">
                  <c:v>0.79142098237550451</c:v>
                </c:pt>
                <c:pt idx="3">
                  <c:v>0.84501195917185856</c:v>
                </c:pt>
                <c:pt idx="4">
                  <c:v>0.88392015722590567</c:v>
                </c:pt>
                <c:pt idx="5">
                  <c:v>0.91439595105070526</c:v>
                </c:pt>
                <c:pt idx="6">
                  <c:v>0.94011127704451303</c:v>
                </c:pt>
                <c:pt idx="7">
                  <c:v>0.96254246747905214</c:v>
                </c:pt>
                <c:pt idx="8">
                  <c:v>0.98135308448778558</c:v>
                </c:pt>
                <c:pt idx="9">
                  <c:v>0.99477675405418442</c:v>
                </c:pt>
                <c:pt idx="10">
                  <c:v>1.0000000000000009</c:v>
                </c:pt>
                <c:pt idx="11">
                  <c:v>0.99354507797353764</c:v>
                </c:pt>
                <c:pt idx="12">
                  <c:v>0.97165280943791832</c:v>
                </c:pt>
                <c:pt idx="13">
                  <c:v>0.93066541565936056</c:v>
                </c:pt>
                <c:pt idx="14">
                  <c:v>0.86740935169544597</c:v>
                </c:pt>
                <c:pt idx="15">
                  <c:v>0.77957814038338613</c:v>
                </c:pt>
                <c:pt idx="16">
                  <c:v>0.66611520632830468</c:v>
                </c:pt>
                <c:pt idx="17">
                  <c:v>0.52759670989149932</c:v>
                </c:pt>
                <c:pt idx="18">
                  <c:v>0.36661438117870127</c:v>
                </c:pt>
                <c:pt idx="19">
                  <c:v>0.18815835402838221</c:v>
                </c:pt>
                <c:pt idx="20">
                  <c:v>-1.4210854715202004E-14</c:v>
                </c:pt>
              </c:numCache>
            </c:numRef>
          </c:yVal>
          <c:smooth val="1"/>
        </c:ser>
        <c:ser>
          <c:idx val="1"/>
          <c:order val="1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Selected'!$D$52:$D$72</c:f>
              <c:numCache>
                <c:formatCode>0.0000</c:formatCode>
                <c:ptCount val="21"/>
                <c:pt idx="0">
                  <c:v>0.6</c:v>
                </c:pt>
                <c:pt idx="1">
                  <c:v>0.73913608975601319</c:v>
                </c:pt>
                <c:pt idx="2">
                  <c:v>0.81233337051471288</c:v>
                </c:pt>
                <c:pt idx="3">
                  <c:v>0.85160209176221446</c:v>
                </c:pt>
                <c:pt idx="4">
                  <c:v>0.87713776107251595</c:v>
                </c:pt>
                <c:pt idx="5">
                  <c:v>0.90002217990597089</c:v>
                </c:pt>
                <c:pt idx="6">
                  <c:v>0.92461538583307035</c:v>
                </c:pt>
                <c:pt idx="7">
                  <c:v>0.95063850118352555</c:v>
                </c:pt>
                <c:pt idx="8">
                  <c:v>0.97494748812066412</c:v>
                </c:pt>
                <c:pt idx="9">
                  <c:v>0.99299781014112853</c:v>
                </c:pt>
                <c:pt idx="10">
                  <c:v>0.9999999999998761</c:v>
                </c:pt>
                <c:pt idx="11">
                  <c:v>0.99176613406050029</c:v>
                </c:pt>
                <c:pt idx="12">
                  <c:v>0.96524721307083428</c:v>
                </c:pt>
                <c:pt idx="13">
                  <c:v>0.91876144936388959</c:v>
                </c:pt>
                <c:pt idx="14">
                  <c:v>0.85191346048407679</c:v>
                </c:pt>
                <c:pt idx="15">
                  <c:v>0.76520436923874602</c:v>
                </c:pt>
                <c:pt idx="16">
                  <c:v>0.65933281017503642</c:v>
                </c:pt>
                <c:pt idx="17">
                  <c:v>0.53418684248199</c:v>
                </c:pt>
                <c:pt idx="18">
                  <c:v>0.38752676931809305</c:v>
                </c:pt>
                <c:pt idx="19">
                  <c:v>0.21335886356386879</c:v>
                </c:pt>
                <c:pt idx="20">
                  <c:v>1.9895196601282805E-13</c:v>
                </c:pt>
              </c:numCache>
            </c:numRef>
          </c:yVal>
          <c:smooth val="1"/>
        </c:ser>
        <c:ser>
          <c:idx val="2"/>
          <c:order val="2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Selected'!$E$52:$E$72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0.68976171921482166</c:v>
                </c:pt>
                <c:pt idx="2">
                  <c:v>0.7684925722926359</c:v>
                </c:pt>
                <c:pt idx="3">
                  <c:v>0.8386870734197055</c:v>
                </c:pt>
                <c:pt idx="4">
                  <c:v>0.89725938056030208</c:v>
                </c:pt>
                <c:pt idx="5">
                  <c:v>0.94299851733482409</c:v>
                </c:pt>
                <c:pt idx="6">
                  <c:v>0.97595666906991263</c:v>
                </c:pt>
                <c:pt idx="7">
                  <c:v>0.99691555302056334</c:v>
                </c:pt>
                <c:pt idx="8">
                  <c:v>1.0069308627642357</c:v>
                </c:pt>
                <c:pt idx="9">
                  <c:v>1.0069547867669562</c:v>
                </c:pt>
                <c:pt idx="10">
                  <c:v>0.99753660112142484</c:v>
                </c:pt>
                <c:pt idx="11">
                  <c:v>0.97860133645710967</c:v>
                </c:pt>
                <c:pt idx="12">
                  <c:v>0.94930651902234553</c:v>
                </c:pt>
                <c:pt idx="13">
                  <c:v>0.90797698593842491</c:v>
                </c:pt>
                <c:pt idx="14">
                  <c:v>0.85211777462568716</c:v>
                </c:pt>
                <c:pt idx="15">
                  <c:v>0.77850508640160254</c:v>
                </c:pt>
                <c:pt idx="16">
                  <c:v>0.68335532425086365</c:v>
                </c:pt>
                <c:pt idx="17">
                  <c:v>0.56257220476744862</c:v>
                </c:pt>
                <c:pt idx="18">
                  <c:v>0.41207194426871263</c:v>
                </c:pt>
                <c:pt idx="19">
                  <c:v>0.22818651908145426</c:v>
                </c:pt>
                <c:pt idx="20">
                  <c:v>8.1449999999776423E-3</c:v>
                </c:pt>
              </c:numCache>
            </c:numRef>
          </c:yVal>
          <c:smooth val="1"/>
        </c:ser>
        <c:ser>
          <c:idx val="3"/>
          <c:order val="3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Selected'!$F$52:$F$72</c:f>
              <c:numCache>
                <c:formatCode>0.0000</c:formatCode>
                <c:ptCount val="21"/>
                <c:pt idx="0">
                  <c:v>0.54983684772420549</c:v>
                </c:pt>
                <c:pt idx="1">
                  <c:v>0.64912987330653871</c:v>
                </c:pt>
                <c:pt idx="2">
                  <c:v>0.71931592806741895</c:v>
                </c:pt>
                <c:pt idx="3">
                  <c:v>0.80039418356022085</c:v>
                </c:pt>
                <c:pt idx="4">
                  <c:v>0.86802596484750283</c:v>
                </c:pt>
                <c:pt idx="5">
                  <c:v>0.9149211941611235</c:v>
                </c:pt>
                <c:pt idx="6">
                  <c:v>0.95485952688520637</c:v>
                </c:pt>
                <c:pt idx="7">
                  <c:v>0.98541228732875796</c:v>
                </c:pt>
                <c:pt idx="8">
                  <c:v>0.99037343336497308</c:v>
                </c:pt>
                <c:pt idx="9">
                  <c:v>0.99505528258707721</c:v>
                </c:pt>
                <c:pt idx="10">
                  <c:v>1</c:v>
                </c:pt>
                <c:pt idx="11">
                  <c:v>0.97652316833620778</c:v>
                </c:pt>
                <c:pt idx="12">
                  <c:v>0.94701098497429048</c:v>
                </c:pt>
                <c:pt idx="13">
                  <c:v>0.90938260011366978</c:v>
                </c:pt>
                <c:pt idx="14">
                  <c:v>0.84743395972168767</c:v>
                </c:pt>
                <c:pt idx="15">
                  <c:v>0.77505465575891785</c:v>
                </c:pt>
                <c:pt idx="16">
                  <c:v>0.67026423664267076</c:v>
                </c:pt>
                <c:pt idx="17">
                  <c:v>0.56491266525654549</c:v>
                </c:pt>
                <c:pt idx="18">
                  <c:v>0.4278573881952214</c:v>
                </c:pt>
                <c:pt idx="19">
                  <c:v>0.29653314100730277</c:v>
                </c:pt>
                <c:pt idx="2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76224"/>
        <c:axId val="129090304"/>
      </c:scatterChart>
      <c:valAx>
        <c:axId val="1290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090304"/>
        <c:crosses val="autoZero"/>
        <c:crossBetween val="midCat"/>
      </c:valAx>
      <c:valAx>
        <c:axId val="129090304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29076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xVal>
            <c:numRef>
              <c:f>'Cxx Selected'!$A$77:$A$97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'Cxx Selected'!$I$77:$I$97</c:f>
              <c:numCache>
                <c:formatCode>General</c:formatCode>
                <c:ptCount val="21"/>
                <c:pt idx="0">
                  <c:v>4.4660287061590669</c:v>
                </c:pt>
                <c:pt idx="1">
                  <c:v>5.0520165504816692</c:v>
                </c:pt>
                <c:pt idx="2">
                  <c:v>5.485887886725366</c:v>
                </c:pt>
                <c:pt idx="3">
                  <c:v>5.8234128409627273</c:v>
                </c:pt>
                <c:pt idx="4">
                  <c:v>6.1034697471709709</c:v>
                </c:pt>
                <c:pt idx="5">
                  <c:v>6.3498650259026252</c:v>
                </c:pt>
                <c:pt idx="6">
                  <c:v>6.5732243669038697</c:v>
                </c:pt>
                <c:pt idx="7">
                  <c:v>6.7729552156805415</c:v>
                </c:pt>
                <c:pt idx="8">
                  <c:v>6.9392805640117983</c:v>
                </c:pt>
                <c:pt idx="9">
                  <c:v>7.0553440444114681</c:v>
                </c:pt>
                <c:pt idx="10">
                  <c:v>7.0993863285370473</c:v>
                </c:pt>
                <c:pt idx="11">
                  <c:v>7.0469928295463804</c:v>
                </c:pt>
                <c:pt idx="12">
                  <c:v>6.8734127084019896</c:v>
                </c:pt>
                <c:pt idx="13">
                  <c:v>6.5559491841231248</c:v>
                </c:pt>
                <c:pt idx="14">
                  <c:v>6.0764211479853589</c:v>
                </c:pt>
                <c:pt idx="15">
                  <c:v>5.42369608166804</c:v>
                </c:pt>
                <c:pt idx="16">
                  <c:v>4.5962942793492143</c:v>
                </c:pt>
                <c:pt idx="17">
                  <c:v>3.6050643737483692</c:v>
                </c:pt>
                <c:pt idx="18">
                  <c:v>2.4759301661166968</c:v>
                </c:pt>
                <c:pt idx="19">
                  <c:v>1.2527087601752269</c:v>
                </c:pt>
                <c:pt idx="20">
                  <c:v>4.2877547764825097E-13</c:v>
                </c:pt>
              </c:numCache>
            </c:numRef>
          </c:yVal>
          <c:smooth val="1"/>
        </c:ser>
        <c:ser>
          <c:idx val="3"/>
          <c:order val="1"/>
          <c:xVal>
            <c:numRef>
              <c:f>'Cxx Selected'!$A$77:$A$97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'Cxx Selected'!$I$52:$I$72</c:f>
              <c:numCache>
                <c:formatCode>General</c:formatCode>
                <c:ptCount val="21"/>
                <c:pt idx="0">
                  <c:v>4.3174562987685938</c:v>
                </c:pt>
                <c:pt idx="1">
                  <c:v>4.8968849193424031</c:v>
                </c:pt>
                <c:pt idx="2">
                  <c:v>5.4558256613171521</c:v>
                </c:pt>
                <c:pt idx="3">
                  <c:v>5.9541635429571977</c:v>
                </c:pt>
                <c:pt idx="4">
                  <c:v>6.3699909795020631</c:v>
                </c:pt>
                <c:pt idx="5">
                  <c:v>6.6947107817982232</c:v>
                </c:pt>
                <c:pt idx="6">
                  <c:v>6.9286934336401842</c:v>
                </c:pt>
                <c:pt idx="7">
                  <c:v>7.077488647820843</c:v>
                </c:pt>
                <c:pt idx="8">
                  <c:v>7.1485912008911416</c:v>
                </c:pt>
                <c:pt idx="9">
                  <c:v>7.1487610466289793</c:v>
                </c:pt>
                <c:pt idx="10">
                  <c:v>7.0818977082174639</c:v>
                </c:pt>
                <c:pt idx="11">
                  <c:v>6.9474689491323804</c:v>
                </c:pt>
                <c:pt idx="12">
                  <c:v>6.7394937227390059</c:v>
                </c:pt>
                <c:pt idx="13">
                  <c:v>6.4460794005981716</c:v>
                </c:pt>
                <c:pt idx="14">
                  <c:v>6.0495132794816193</c:v>
                </c:pt>
                <c:pt idx="15">
                  <c:v>5.5269083670966408</c:v>
                </c:pt>
                <c:pt idx="16">
                  <c:v>4.8514034465200657</c:v>
                </c:pt>
                <c:pt idx="17">
                  <c:v>3.9939174193413671</c:v>
                </c:pt>
                <c:pt idx="18">
                  <c:v>2.9254579275152701</c:v>
                </c:pt>
                <c:pt idx="19">
                  <c:v>1.6199842539234961</c:v>
                </c:pt>
                <c:pt idx="20">
                  <c:v>5.782450164578129E-2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68128"/>
        <c:axId val="129569920"/>
      </c:scatterChart>
      <c:valAx>
        <c:axId val="1295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569920"/>
        <c:crosses val="autoZero"/>
        <c:crossBetween val="midCat"/>
      </c:valAx>
      <c:valAx>
        <c:axId val="12956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568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2069234588976"/>
          <c:y val="3.3643999045574052E-2"/>
          <c:w val="0.81566255231609563"/>
          <c:h val="0.93271200190885228"/>
        </c:manualLayout>
      </c:layout>
      <c:scatterChart>
        <c:scatterStyle val="smoothMarker"/>
        <c:varyColors val="0"/>
        <c:ser>
          <c:idx val="2"/>
          <c:order val="0"/>
          <c:xVal>
            <c:numRef>
              <c:f>'Section Calcs'!$V$38:$AO$38</c:f>
              <c:numCache>
                <c:formatCode>0.00</c:formatCode>
                <c:ptCount val="20"/>
                <c:pt idx="0">
                  <c:v>2.5220602308173645</c:v>
                </c:pt>
                <c:pt idx="1">
                  <c:v>2.5453542184466045</c:v>
                </c:pt>
                <c:pt idx="2">
                  <c:v>2.5919421937050844</c:v>
                </c:pt>
                <c:pt idx="3">
                  <c:v>2.6385301689635643</c:v>
                </c:pt>
                <c:pt idx="4">
                  <c:v>2.6851181442220446</c:v>
                </c:pt>
                <c:pt idx="5">
                  <c:v>2.7550001071097645</c:v>
                </c:pt>
                <c:pt idx="6">
                  <c:v>2.8714700452559643</c:v>
                </c:pt>
                <c:pt idx="7">
                  <c:v>2.9879399834021645</c:v>
                </c:pt>
                <c:pt idx="8">
                  <c:v>3.2208798596945645</c:v>
                </c:pt>
                <c:pt idx="9">
                  <c:v>3.4538197359869645</c:v>
                </c:pt>
                <c:pt idx="10">
                  <c:v>3.6867596122793644</c:v>
                </c:pt>
                <c:pt idx="11">
                  <c:v>3.919699488571764</c:v>
                </c:pt>
                <c:pt idx="12">
                  <c:v>4.1526393648641644</c:v>
                </c:pt>
                <c:pt idx="13">
                  <c:v>4.3855792411565639</c:v>
                </c:pt>
                <c:pt idx="14">
                  <c:v>4.6185191174489635</c:v>
                </c:pt>
                <c:pt idx="15">
                  <c:v>4.8514589937413639</c:v>
                </c:pt>
                <c:pt idx="16">
                  <c:v>5.9773759150470989</c:v>
                </c:pt>
                <c:pt idx="17">
                  <c:v>7.1032928363528338</c:v>
                </c:pt>
                <c:pt idx="18">
                  <c:v>8.2292097576585697</c:v>
                </c:pt>
                <c:pt idx="19">
                  <c:v>9.3551266789643037</c:v>
                </c:pt>
              </c:numCache>
            </c:numRef>
          </c:xVal>
          <c:yVal>
            <c:numRef>
              <c:f>'Section Calcs'!$V$41:$AO$41</c:f>
              <c:numCache>
                <c:formatCode>0.00</c:formatCode>
                <c:ptCount val="20"/>
                <c:pt idx="0">
                  <c:v>0</c:v>
                </c:pt>
                <c:pt idx="1">
                  <c:v>7.0158490027806206E-2</c:v>
                </c:pt>
                <c:pt idx="2">
                  <c:v>0.21745205342341509</c:v>
                </c:pt>
                <c:pt idx="3">
                  <c:v>0.37305788242557142</c:v>
                </c:pt>
                <c:pt idx="4">
                  <c:v>0.5358264788287801</c:v>
                </c:pt>
                <c:pt idx="5">
                  <c:v>0.79100279989097455</c:v>
                </c:pt>
                <c:pt idx="6">
                  <c:v>1.2370712307679004</c:v>
                </c:pt>
                <c:pt idx="7">
                  <c:v>1.6962102074745526</c:v>
                </c:pt>
                <c:pt idx="8">
                  <c:v>2.6020406982823925</c:v>
                </c:pt>
                <c:pt idx="9">
                  <c:v>3.422281612590325</c:v>
                </c:pt>
                <c:pt idx="10">
                  <c:v>4.0980891554183438</c:v>
                </c:pt>
                <c:pt idx="11">
                  <c:v>4.5979883965306128</c:v>
                </c:pt>
                <c:pt idx="12">
                  <c:v>4.9178732704354671</c:v>
                </c:pt>
                <c:pt idx="13">
                  <c:v>5.0810065763854126</c:v>
                </c:pt>
                <c:pt idx="14">
                  <c:v>5.1380199783770877</c:v>
                </c:pt>
                <c:pt idx="15">
                  <c:v>5.1669140051513978</c:v>
                </c:pt>
                <c:pt idx="16">
                  <c:v>5.3591453077745523</c:v>
                </c:pt>
                <c:pt idx="17">
                  <c:v>5.474947420612696</c:v>
                </c:pt>
                <c:pt idx="18">
                  <c:v>5.5143203436658315</c:v>
                </c:pt>
                <c:pt idx="19">
                  <c:v>5.4772640769339551</c:v>
                </c:pt>
              </c:numCache>
            </c:numRef>
          </c:yVal>
          <c:smooth val="1"/>
        </c:ser>
        <c:ser>
          <c:idx val="0"/>
          <c:order val="1"/>
          <c:xVal>
            <c:numRef>
              <c:f>'Section Calcs'!$AY$38:$AY$39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5.9773759150470989</c:v>
                </c:pt>
              </c:numCache>
            </c:numRef>
          </c:xVal>
          <c:yVal>
            <c:numRef>
              <c:f>'Section Calcs'!$AX$38:$AX$39</c:f>
              <c:numCache>
                <c:formatCode>0.00</c:formatCode>
                <c:ptCount val="2"/>
                <c:pt idx="0">
                  <c:v>4.5414866138840786</c:v>
                </c:pt>
                <c:pt idx="1">
                  <c:v>5.3591453077745523</c:v>
                </c:pt>
              </c:numCache>
            </c:numRef>
          </c:yVal>
          <c:smooth val="1"/>
        </c:ser>
        <c:ser>
          <c:idx val="1"/>
          <c:order val="2"/>
          <c:xVal>
            <c:numRef>
              <c:f>'Section Calcs'!$AY$41:$AY$42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4.8514589937413639</c:v>
                </c:pt>
              </c:numCache>
            </c:numRef>
          </c:xVal>
          <c:yVal>
            <c:numRef>
              <c:f>'Section Calcs'!$AX$41:$AX$42</c:f>
              <c:numCache>
                <c:formatCode>0.00</c:formatCode>
                <c:ptCount val="2"/>
                <c:pt idx="0">
                  <c:v>4.1739465837393528</c:v>
                </c:pt>
                <c:pt idx="1">
                  <c:v>5.1669140051513978</c:v>
                </c:pt>
              </c:numCache>
            </c:numRef>
          </c:yVal>
          <c:smooth val="1"/>
        </c:ser>
        <c:ser>
          <c:idx val="3"/>
          <c:order val="3"/>
          <c:xVal>
            <c:numRef>
              <c:f>'Section Calcs'!$BB$41:$BB$42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4.8514589937413639</c:v>
                </c:pt>
              </c:numCache>
            </c:numRef>
          </c:xVal>
          <c:yVal>
            <c:numRef>
              <c:f>'Section Calcs'!$BA$41:$BA$42</c:f>
              <c:numCache>
                <c:formatCode>0.00</c:formatCode>
                <c:ptCount val="2"/>
                <c:pt idx="0">
                  <c:v>4.5651356051162306</c:v>
                </c:pt>
                <c:pt idx="1">
                  <c:v>5.1669140051513978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75488"/>
        <c:axId val="129777024"/>
      </c:scatterChart>
      <c:valAx>
        <c:axId val="129775488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777024"/>
        <c:crosses val="autoZero"/>
        <c:crossBetween val="midCat"/>
      </c:valAx>
      <c:valAx>
        <c:axId val="12977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775488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13513513513513514"/>
          <c:y val="4.7073791348600506E-2"/>
          <c:w val="0.13344594594594594"/>
          <c:h val="0.1221374045801526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2069234588978"/>
          <c:y val="3.3643999045574052E-2"/>
          <c:w val="0.81566255231609563"/>
          <c:h val="0.93271200190885228"/>
        </c:manualLayout>
      </c:layout>
      <c:scatterChart>
        <c:scatterStyle val="smoothMarker"/>
        <c:varyColors val="0"/>
        <c:ser>
          <c:idx val="2"/>
          <c:order val="0"/>
          <c:xVal>
            <c:numRef>
              <c:f>'BHD Calcs'!$V$38:$AO$38</c:f>
              <c:numCache>
                <c:formatCode>0.00</c:formatCode>
                <c:ptCount val="20"/>
                <c:pt idx="0">
                  <c:v>1.4918120717362151</c:v>
                </c:pt>
                <c:pt idx="1">
                  <c:v>1.5254085409562665</c:v>
                </c:pt>
                <c:pt idx="2">
                  <c:v>1.5926014793963696</c:v>
                </c:pt>
                <c:pt idx="3">
                  <c:v>1.6597944178364725</c:v>
                </c:pt>
                <c:pt idx="4">
                  <c:v>1.7269873562765756</c:v>
                </c:pt>
                <c:pt idx="5">
                  <c:v>1.8277767639367299</c:v>
                </c:pt>
                <c:pt idx="6">
                  <c:v>1.9957591100369874</c:v>
                </c:pt>
                <c:pt idx="7">
                  <c:v>2.1637414561372448</c:v>
                </c:pt>
                <c:pt idx="8">
                  <c:v>2.4997061483377596</c:v>
                </c:pt>
                <c:pt idx="9">
                  <c:v>2.8356708405382749</c:v>
                </c:pt>
                <c:pt idx="10">
                  <c:v>3.1716355327387893</c:v>
                </c:pt>
                <c:pt idx="11">
                  <c:v>3.5076002249393041</c:v>
                </c:pt>
                <c:pt idx="12">
                  <c:v>3.843564917139819</c:v>
                </c:pt>
                <c:pt idx="13">
                  <c:v>4.1795296093403342</c:v>
                </c:pt>
                <c:pt idx="14">
                  <c:v>4.5154943015408495</c:v>
                </c:pt>
                <c:pt idx="15">
                  <c:v>4.8514589937413639</c:v>
                </c:pt>
                <c:pt idx="16">
                  <c:v>5.9589115966735609</c:v>
                </c:pt>
                <c:pt idx="17">
                  <c:v>7.0663641996057569</c:v>
                </c:pt>
                <c:pt idx="18">
                  <c:v>8.173816802537953</c:v>
                </c:pt>
                <c:pt idx="19">
                  <c:v>9.2812694054701499</c:v>
                </c:pt>
              </c:numCache>
            </c:numRef>
          </c:xVal>
          <c:yVal>
            <c:numRef>
              <c:f>'BHD Calcs'!$V$41:$AO$41</c:f>
              <c:numCache>
                <c:formatCode>0.00</c:formatCode>
                <c:ptCount val="20"/>
                <c:pt idx="0">
                  <c:v>0</c:v>
                </c:pt>
                <c:pt idx="1">
                  <c:v>9.7699833641315126E-2</c:v>
                </c:pt>
                <c:pt idx="2">
                  <c:v>0.29546816797473263</c:v>
                </c:pt>
                <c:pt idx="3">
                  <c:v>0.49583268827753818</c:v>
                </c:pt>
                <c:pt idx="4">
                  <c:v>0.69814023669627989</c:v>
                </c:pt>
                <c:pt idx="5">
                  <c:v>1.0038758218563679</c:v>
                </c:pt>
                <c:pt idx="6">
                  <c:v>1.5145890050432187</c:v>
                </c:pt>
                <c:pt idx="7">
                  <c:v>2.0193821218118542</c:v>
                </c:pt>
                <c:pt idx="8">
                  <c:v>2.9815990903246772</c:v>
                </c:pt>
                <c:pt idx="9">
                  <c:v>3.8408113925255605</c:v>
                </c:pt>
                <c:pt idx="10">
                  <c:v>4.5625081682177253</c:v>
                </c:pt>
                <c:pt idx="11">
                  <c:v>5.1273830318768985</c:v>
                </c:pt>
                <c:pt idx="12">
                  <c:v>5.5313340726513101</c:v>
                </c:pt>
                <c:pt idx="13">
                  <c:v>5.7854638543616934</c:v>
                </c:pt>
                <c:pt idx="14">
                  <c:v>5.9160794155012502</c:v>
                </c:pt>
                <c:pt idx="15">
                  <c:v>5.9646922692357913</c:v>
                </c:pt>
                <c:pt idx="16">
                  <c:v>5.9326442696379349</c:v>
                </c:pt>
                <c:pt idx="17">
                  <c:v>5.954719343238672</c:v>
                </c:pt>
                <c:pt idx="18">
                  <c:v>6.0309174900380027</c:v>
                </c:pt>
                <c:pt idx="19">
                  <c:v>6.1612387100359287</c:v>
                </c:pt>
              </c:numCache>
            </c:numRef>
          </c:yVal>
          <c:smooth val="1"/>
        </c:ser>
        <c:ser>
          <c:idx val="0"/>
          <c:order val="1"/>
          <c:xVal>
            <c:numRef>
              <c:f>'BHD Calcs'!$AY$38:$AY$39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5.9589115966735609</c:v>
                </c:pt>
              </c:numCache>
            </c:numRef>
          </c:xVal>
          <c:yVal>
            <c:numRef>
              <c:f>'BHD Calcs'!$AX$38:$AX$39</c:f>
              <c:numCache>
                <c:formatCode>0.00</c:formatCode>
                <c:ptCount val="2"/>
                <c:pt idx="0">
                  <c:v>5.9594751173959581</c:v>
                </c:pt>
                <c:pt idx="1">
                  <c:v>5.9326442696379349</c:v>
                </c:pt>
              </c:numCache>
            </c:numRef>
          </c:yVal>
          <c:smooth val="1"/>
        </c:ser>
        <c:ser>
          <c:idx val="1"/>
          <c:order val="2"/>
          <c:xVal>
            <c:numRef>
              <c:f>'BHD Calcs'!$AY$41:$AY$42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4.8514589937413639</c:v>
                </c:pt>
              </c:numCache>
            </c:numRef>
          </c:xVal>
          <c:yVal>
            <c:numRef>
              <c:f>'BHD Calcs'!$AX$41:$AX$42</c:f>
              <c:numCache>
                <c:formatCode>0.00</c:formatCode>
                <c:ptCount val="2"/>
                <c:pt idx="0">
                  <c:v>6.2236356228748457</c:v>
                </c:pt>
                <c:pt idx="1">
                  <c:v>5.9646922692357913</c:v>
                </c:pt>
              </c:numCache>
            </c:numRef>
          </c:yVal>
          <c:smooth val="1"/>
        </c:ser>
        <c:ser>
          <c:idx val="3"/>
          <c:order val="3"/>
          <c:xVal>
            <c:numRef>
              <c:f>'BHD Calcs'!$BB$41:$BB$42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4.8514589937413639</c:v>
                </c:pt>
              </c:numCache>
            </c:numRef>
          </c:xVal>
          <c:yVal>
            <c:numRef>
              <c:f>'BHD Calcs'!$BA$41:$BA$42</c:f>
              <c:numCache>
                <c:formatCode>0.00</c:formatCode>
                <c:ptCount val="2"/>
                <c:pt idx="0">
                  <c:v>5.2627040188719274</c:v>
                </c:pt>
                <c:pt idx="1">
                  <c:v>5.9646922692357913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63296"/>
        <c:axId val="130273280"/>
      </c:scatterChart>
      <c:valAx>
        <c:axId val="130263296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273280"/>
        <c:crosses val="autoZero"/>
        <c:crossBetween val="midCat"/>
      </c:valAx>
      <c:valAx>
        <c:axId val="13027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26329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12236286919831224"/>
          <c:y val="4.0302267002518891E-2"/>
          <c:w val="0.18565400843881857"/>
          <c:h val="0.211586901763224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'C'!$B$4:$B$10</c:f>
              <c:numCache>
                <c:formatCode>General</c:formatCode>
                <c:ptCount val="7"/>
                <c:pt idx="0">
                  <c:v>-4.5109018118418776E-2</c:v>
                </c:pt>
                <c:pt idx="1">
                  <c:v>9.2484639354843551E-2</c:v>
                </c:pt>
                <c:pt idx="2">
                  <c:v>0.23007829682810588</c:v>
                </c:pt>
                <c:pt idx="3">
                  <c:v>0.43081459648729481</c:v>
                </c:pt>
                <c:pt idx="4">
                  <c:v>0.72698188931735397</c:v>
                </c:pt>
                <c:pt idx="5">
                  <c:v>1.2124899493301371</c:v>
                </c:pt>
                <c:pt idx="6">
                  <c:v>2.1011963413300641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'C'!$C$4:$C$10</c:f>
              <c:numCache>
                <c:formatCode>General</c:formatCode>
                <c:ptCount val="7"/>
                <c:pt idx="0">
                  <c:v>-4.768976724235513E-2</c:v>
                </c:pt>
                <c:pt idx="1">
                  <c:v>6.7435464742513301E-2</c:v>
                </c:pt>
                <c:pt idx="2">
                  <c:v>0.18256069672738173</c:v>
                </c:pt>
                <c:pt idx="3">
                  <c:v>0.34752175121706386</c:v>
                </c:pt>
                <c:pt idx="4">
                  <c:v>0.58434170429185617</c:v>
                </c:pt>
                <c:pt idx="5">
                  <c:v>0.94226244334937326</c:v>
                </c:pt>
                <c:pt idx="6">
                  <c:v>1.5437363115573393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'C'!$D$4:$D$10</c:f>
              <c:numCache>
                <c:formatCode>General</c:formatCode>
                <c:ptCount val="7"/>
                <c:pt idx="0">
                  <c:v>-4.9567749073504017E-2</c:v>
                </c:pt>
                <c:pt idx="1">
                  <c:v>4.750247826059293E-2</c:v>
                </c:pt>
                <c:pt idx="2">
                  <c:v>0.14457270559468988</c:v>
                </c:pt>
                <c:pt idx="3">
                  <c:v>0.28258035466040754</c:v>
                </c:pt>
                <c:pt idx="4">
                  <c:v>0.4756251194640605</c:v>
                </c:pt>
                <c:pt idx="5">
                  <c:v>0.75383395731892822</c:v>
                </c:pt>
                <c:pt idx="6">
                  <c:v>1.1876033835897566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'C'!$E$4:$E$10</c:f>
              <c:numCache>
                <c:formatCode>General</c:formatCode>
                <c:ptCount val="7"/>
                <c:pt idx="0">
                  <c:v>-5.0316367757028482E-2</c:v>
                </c:pt>
                <c:pt idx="1">
                  <c:v>3.176891340428703E-2</c:v>
                </c:pt>
                <c:pt idx="2">
                  <c:v>0.11385419456560254</c:v>
                </c:pt>
                <c:pt idx="3">
                  <c:v>0.23099546347860964</c:v>
                </c:pt>
                <c:pt idx="4">
                  <c:v>0.39147986408080898</c:v>
                </c:pt>
                <c:pt idx="5">
                  <c:v>0.61537231904878487</c:v>
                </c:pt>
                <c:pt idx="6">
                  <c:v>0.94553804570924616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'C'!$F$4:$F$10</c:f>
              <c:numCache>
                <c:formatCode>General</c:formatCode>
                <c:ptCount val="7"/>
                <c:pt idx="0">
                  <c:v>-5.0082002937880857E-2</c:v>
                </c:pt>
                <c:pt idx="1">
                  <c:v>1.9333921088818325E-2</c:v>
                </c:pt>
                <c:pt idx="2">
                  <c:v>8.8749845115517506E-2</c:v>
                </c:pt>
                <c:pt idx="3">
                  <c:v>0.18899664808687411</c:v>
                </c:pt>
                <c:pt idx="4">
                  <c:v>0.32467973835119596</c:v>
                </c:pt>
                <c:pt idx="5">
                  <c:v>0.50913778156746159</c:v>
                </c:pt>
                <c:pt idx="6">
                  <c:v>0.77056215804158046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'C'!$G$4:$G$10</c:f>
              <c:numCache>
                <c:formatCode>General</c:formatCode>
                <c:ptCount val="7"/>
                <c:pt idx="0">
                  <c:v>-4.8370104068732475E-2</c:v>
                </c:pt>
                <c:pt idx="1">
                  <c:v>9.8225847345535678E-3</c:v>
                </c:pt>
                <c:pt idx="2">
                  <c:v>6.8015273537839607E-2</c:v>
                </c:pt>
                <c:pt idx="3">
                  <c:v>0.15446245616597939</c:v>
                </c:pt>
                <c:pt idx="4">
                  <c:v>0.27063140494761961</c:v>
                </c:pt>
                <c:pt idx="5">
                  <c:v>0.42548357406212917</c:v>
                </c:pt>
                <c:pt idx="6">
                  <c:v>0.63862687963376508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'C'!$H$4:$H$10</c:f>
              <c:numCache>
                <c:formatCode>General</c:formatCode>
                <c:ptCount val="7"/>
                <c:pt idx="0">
                  <c:v>-4.4963764240419583E-2</c:v>
                </c:pt>
                <c:pt idx="1">
                  <c:v>2.9449867095748122E-3</c:v>
                </c:pt>
                <c:pt idx="2">
                  <c:v>5.0853737659569208E-2</c:v>
                </c:pt>
                <c:pt idx="3">
                  <c:v>0.12563632484635612</c:v>
                </c:pt>
                <c:pt idx="4">
                  <c:v>0.2263228807939793</c:v>
                </c:pt>
                <c:pt idx="5">
                  <c:v>0.3584562736819481</c:v>
                </c:pt>
                <c:pt idx="6">
                  <c:v>0.53469099906239637</c:v>
                </c:pt>
              </c:numCache>
            </c:numRef>
          </c:yVal>
          <c:smooth val="1"/>
        </c:ser>
        <c:ser>
          <c:idx val="7"/>
          <c:order val="7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'C'!$I$4:$I$10</c:f>
              <c:numCache>
                <c:formatCode>General</c:formatCode>
                <c:ptCount val="7"/>
                <c:pt idx="0">
                  <c:v>-3.8310006731246966E-2</c:v>
                </c:pt>
                <c:pt idx="1">
                  <c:v>-7.6376381076718807E-4</c:v>
                </c:pt>
                <c:pt idx="2">
                  <c:v>3.6782479109712593E-2</c:v>
                </c:pt>
                <c:pt idx="3">
                  <c:v>0.10159180862717244</c:v>
                </c:pt>
                <c:pt idx="4">
                  <c:v>0.18904225540377251</c:v>
                </c:pt>
                <c:pt idx="5">
                  <c:v>0.30325467658758037</c:v>
                </c:pt>
                <c:pt idx="6">
                  <c:v>0.45349341306672569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'C'!$J$4:$J$10</c:f>
              <c:numCache>
                <c:formatCode>General</c:formatCode>
                <c:ptCount val="7"/>
                <c:pt idx="0">
                  <c:v>-2.8699888489315133E-2</c:v>
                </c:pt>
                <c:pt idx="1">
                  <c:v>-1.7390353379787783E-3</c:v>
                </c:pt>
                <c:pt idx="2">
                  <c:v>2.5221817813357576E-2</c:v>
                </c:pt>
                <c:pt idx="3">
                  <c:v>8.1368343049105896E-2</c:v>
                </c:pt>
                <c:pt idx="4">
                  <c:v>0.15799678244737927</c:v>
                </c:pt>
                <c:pt idx="5">
                  <c:v>0.25748309322948892</c:v>
                </c:pt>
                <c:pt idx="6">
                  <c:v>0.3869818791254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'C'!$K$4:$K$10</c:f>
              <c:numCache>
                <c:formatCode>General</c:formatCode>
                <c:ptCount val="7"/>
                <c:pt idx="0">
                  <c:v>-1.6457949433182954E-2</c:v>
                </c:pt>
                <c:pt idx="1">
                  <c:v>-2.9764597462538997E-4</c:v>
                </c:pt>
                <c:pt idx="2">
                  <c:v>1.5862657483932174E-2</c:v>
                </c:pt>
                <c:pt idx="3">
                  <c:v>6.4279252869441403E-2</c:v>
                </c:pt>
                <c:pt idx="4">
                  <c:v>0.13169534002324901</c:v>
                </c:pt>
                <c:pt idx="5">
                  <c:v>0.21910776593689543</c:v>
                </c:pt>
                <c:pt idx="6">
                  <c:v>0.33123640885084499</c:v>
                </c:pt>
              </c:numCache>
            </c:numRef>
          </c:yVal>
          <c:smooth val="1"/>
        </c:ser>
        <c:ser>
          <c:idx val="10"/>
          <c:order val="10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'C'!$L$4:$L$10</c:f>
              <c:numCache>
                <c:formatCode>General</c:formatCode>
                <c:ptCount val="7"/>
                <c:pt idx="0">
                  <c:v>-1.9686283695023185E-3</c:v>
                </c:pt>
                <c:pt idx="1">
                  <c:v>3.2371221036767849E-3</c:v>
                </c:pt>
                <c:pt idx="2">
                  <c:v>8.4428725768558883E-3</c:v>
                </c:pt>
                <c:pt idx="3">
                  <c:v>4.9815948029699623E-2</c:v>
                </c:pt>
                <c:pt idx="4">
                  <c:v>0.10926762137782139</c:v>
                </c:pt>
                <c:pt idx="5">
                  <c:v>0.18649526685728227</c:v>
                </c:pt>
                <c:pt idx="6">
                  <c:v>0.28501822607518795</c:v>
                </c:pt>
              </c:numCache>
            </c:numRef>
          </c:yVal>
          <c:smooth val="1"/>
        </c:ser>
        <c:ser>
          <c:idx val="11"/>
          <c:order val="11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'C'!$M$4:$M$10</c:f>
              <c:numCache>
                <c:formatCode>General</c:formatCode>
                <c:ptCount val="7"/>
                <c:pt idx="0">
                  <c:v>8.755922462259088E-3</c:v>
                </c:pt>
                <c:pt idx="1">
                  <c:v>8.5397190134267279E-3</c:v>
                </c:pt>
                <c:pt idx="2">
                  <c:v>8.3235155645943679E-3</c:v>
                </c:pt>
                <c:pt idx="3">
                  <c:v>3.763373500631214E-2</c:v>
                </c:pt>
                <c:pt idx="4">
                  <c:v>9.0049819745028431E-2</c:v>
                </c:pt>
                <c:pt idx="5">
                  <c:v>0.15861762018723388</c:v>
                </c:pt>
                <c:pt idx="6">
                  <c:v>0.24570288690446657</c:v>
                </c:pt>
              </c:numCache>
            </c:numRef>
          </c:yVal>
          <c:smooth val="1"/>
        </c:ser>
        <c:ser>
          <c:idx val="12"/>
          <c:order val="12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'C'!$N$4:$N$10</c:f>
              <c:numCache>
                <c:formatCode>General</c:formatCode>
                <c:ptCount val="7"/>
                <c:pt idx="0">
                  <c:v>2.5782620109473648E-2</c:v>
                </c:pt>
                <c:pt idx="1">
                  <c:v>1.5286523528404419E-2</c:v>
                </c:pt>
                <c:pt idx="2">
                  <c:v>4.7904269473351899E-3</c:v>
                </c:pt>
                <c:pt idx="3">
                  <c:v>2.7329829770996232E-2</c:v>
                </c:pt>
                <c:pt idx="4">
                  <c:v>7.3524204114879838E-2</c:v>
                </c:pt>
                <c:pt idx="5">
                  <c:v>0.13461474086738956</c:v>
                </c:pt>
                <c:pt idx="6">
                  <c:v>0.2120920469514723</c:v>
                </c:pt>
              </c:numCache>
            </c:numRef>
          </c:yVal>
          <c:smooth val="1"/>
        </c:ser>
        <c:ser>
          <c:idx val="13"/>
          <c:order val="13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'C'!$O$4:$O$10</c:f>
              <c:numCache>
                <c:formatCode>General</c:formatCode>
                <c:ptCount val="7"/>
                <c:pt idx="0">
                  <c:v>4.385985050491252E-2</c:v>
                </c:pt>
                <c:pt idx="1">
                  <c:v>2.3160039444836935E-2</c:v>
                </c:pt>
                <c:pt idx="2">
                  <c:v>2.4602283847613474E-3</c:v>
                </c:pt>
                <c:pt idx="3">
                  <c:v>1.8710554926367452E-2</c:v>
                </c:pt>
                <c:pt idx="4">
                  <c:v>5.9284353192150308E-2</c:v>
                </c:pt>
                <c:pt idx="5">
                  <c:v>0.11375904625285661</c:v>
                </c:pt>
                <c:pt idx="6">
                  <c:v>0.18307005047443431</c:v>
                </c:pt>
              </c:numCache>
            </c:numRef>
          </c:yVal>
          <c:smooth val="1"/>
        </c:ser>
        <c:ser>
          <c:idx val="14"/>
          <c:order val="14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'C'!$P$4:$P$10</c:f>
              <c:numCache>
                <c:formatCode>General</c:formatCode>
                <c:ptCount val="7"/>
                <c:pt idx="0">
                  <c:v>6.2470211548350793E-2</c:v>
                </c:pt>
                <c:pt idx="1">
                  <c:v>3.1853091946564126E-2</c:v>
                </c:pt>
                <c:pt idx="2">
                  <c:v>1.2359723447774617E-3</c:v>
                </c:pt>
                <c:pt idx="3">
                  <c:v>1.1620550885065865E-2</c:v>
                </c:pt>
                <c:pt idx="4">
                  <c:v>4.7002848222631143E-2</c:v>
                </c:pt>
                <c:pt idx="5">
                  <c:v>9.5707674168974022E-2</c:v>
                </c:pt>
                <c:pt idx="6">
                  <c:v>0.15787713219288529</c:v>
                </c:pt>
              </c:numCache>
            </c:numRef>
          </c:yVal>
          <c:smooth val="1"/>
        </c:ser>
        <c:ser>
          <c:idx val="15"/>
          <c:order val="15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'C'!$Q$4:$Q$10</c:f>
              <c:numCache>
                <c:formatCode>General</c:formatCode>
                <c:ptCount val="7"/>
                <c:pt idx="0">
                  <c:v>8.1234052091420816E-2</c:v>
                </c:pt>
                <c:pt idx="1">
                  <c:v>4.1073023970204722E-2</c:v>
                </c:pt>
                <c:pt idx="2">
                  <c:v>9.1199584898863436E-4</c:v>
                </c:pt>
                <c:pt idx="3">
                  <c:v>5.9379813866632528E-3</c:v>
                </c:pt>
                <c:pt idx="4">
                  <c:v>3.6428463020388685E-2</c:v>
                </c:pt>
                <c:pt idx="5">
                  <c:v>7.9968462276578903E-2</c:v>
                </c:pt>
                <c:pt idx="6">
                  <c:v>0.13590230595054617</c:v>
                </c:pt>
              </c:numCache>
            </c:numRef>
          </c:yVal>
          <c:smooth val="1"/>
        </c:ser>
        <c:ser>
          <c:idx val="16"/>
          <c:order val="16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'C'!$R$4:$R$10</c:f>
              <c:numCache>
                <c:formatCode>General</c:formatCode>
                <c:ptCount val="7"/>
                <c:pt idx="0">
                  <c:v>9.9789629614535302E-2</c:v>
                </c:pt>
                <c:pt idx="1">
                  <c:v>5.0545892570322139E-2</c:v>
                </c:pt>
                <c:pt idx="2">
                  <c:v>1.3021555261089768E-3</c:v>
                </c:pt>
                <c:pt idx="3">
                  <c:v>1.1807759050672774E-3</c:v>
                </c:pt>
                <c:pt idx="4">
                  <c:v>2.7355398240401008E-2</c:v>
                </c:pt>
                <c:pt idx="5">
                  <c:v>6.6217663907427324E-2</c:v>
                </c:pt>
                <c:pt idx="6">
                  <c:v>0.11672531758208726</c:v>
                </c:pt>
              </c:numCache>
            </c:numRef>
          </c:yVal>
          <c:smooth val="1"/>
        </c:ser>
        <c:ser>
          <c:idx val="17"/>
          <c:order val="17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'C'!$S$4:$S$10</c:f>
              <c:numCache>
                <c:formatCode>General</c:formatCode>
                <c:ptCount val="7"/>
                <c:pt idx="0">
                  <c:v>0.1177973065920532</c:v>
                </c:pt>
                <c:pt idx="1">
                  <c:v>6.0020665284590359E-2</c:v>
                </c:pt>
                <c:pt idx="2">
                  <c:v>2.2440239771275169E-3</c:v>
                </c:pt>
                <c:pt idx="3">
                  <c:v>-6.0284094978794184E-3</c:v>
                </c:pt>
                <c:pt idx="4">
                  <c:v>1.9633685495414294E-2</c:v>
                </c:pt>
                <c:pt idx="5">
                  <c:v>5.4188027510395552E-2</c:v>
                </c:pt>
                <c:pt idx="6">
                  <c:v>9.9760163278424477E-2</c:v>
                </c:pt>
              </c:numCache>
            </c:numRef>
          </c:yVal>
          <c:smooth val="1"/>
        </c:ser>
        <c:ser>
          <c:idx val="18"/>
          <c:order val="18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'C'!$T$4:$T$10</c:f>
              <c:numCache>
                <c:formatCode>General</c:formatCode>
                <c:ptCount val="7"/>
                <c:pt idx="0">
                  <c:v>0.13494374685744598</c:v>
                </c:pt>
                <c:pt idx="1">
                  <c:v>6.9273416498960044E-2</c:v>
                </c:pt>
                <c:pt idx="2">
                  <c:v>3.603086140474116E-3</c:v>
                </c:pt>
                <c:pt idx="3">
                  <c:v>-9.0269882141578491E-3</c:v>
                </c:pt>
                <c:pt idx="4">
                  <c:v>1.3108735056260349E-2</c:v>
                </c:pt>
                <c:pt idx="5">
                  <c:v>4.3667694417271072E-2</c:v>
                </c:pt>
                <c:pt idx="6">
                  <c:v>8.4836896886650665E-2</c:v>
                </c:pt>
              </c:numCache>
            </c:numRef>
          </c:yVal>
          <c:smooth val="1"/>
        </c:ser>
        <c:ser>
          <c:idx val="19"/>
          <c:order val="19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'C'!$U$4:$U$10</c:f>
              <c:numCache>
                <c:formatCode>General</c:formatCode>
                <c:ptCount val="7"/>
                <c:pt idx="0">
                  <c:v>0.150946111968463</c:v>
                </c:pt>
                <c:pt idx="1">
                  <c:v>7.8111523812824185E-2</c:v>
                </c:pt>
                <c:pt idx="2">
                  <c:v>5.2769356571853642E-3</c:v>
                </c:pt>
                <c:pt idx="3">
                  <c:v>-1.1127964834034139E-2</c:v>
                </c:pt>
                <c:pt idx="4">
                  <c:v>7.7036317941865228E-3</c:v>
                </c:pt>
                <c:pt idx="5">
                  <c:v>3.4481695070573755E-2</c:v>
                </c:pt>
                <c:pt idx="6">
                  <c:v>7.163973586012784E-2</c:v>
                </c:pt>
              </c:numCache>
            </c:numRef>
          </c:yVal>
          <c:smooth val="1"/>
        </c:ser>
        <c:ser>
          <c:idx val="20"/>
          <c:order val="20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'C'!$V$4:$V$10</c:f>
              <c:numCache>
                <c:formatCode>General</c:formatCode>
                <c:ptCount val="7"/>
                <c:pt idx="0">
                  <c:v>0.16555625757229786</c:v>
                </c:pt>
                <c:pt idx="1">
                  <c:v>8.6377864404184185E-2</c:v>
                </c:pt>
                <c:pt idx="2">
                  <c:v>7.1994712360705232E-3</c:v>
                </c:pt>
                <c:pt idx="3">
                  <c:v>-1.235375960602049E-2</c:v>
                </c:pt>
                <c:pt idx="4">
                  <c:v>3.408789180586375E-3</c:v>
                </c:pt>
                <c:pt idx="5">
                  <c:v>2.6485781799899633E-2</c:v>
                </c:pt>
                <c:pt idx="6">
                  <c:v>5.9993965206374719E-2</c:v>
                </c:pt>
              </c:numCache>
            </c:numRef>
          </c:yVal>
          <c:smooth val="1"/>
        </c:ser>
        <c:ser>
          <c:idx val="21"/>
          <c:order val="21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'C'!$W$4:$W$10</c:f>
              <c:numCache>
                <c:formatCode>General</c:formatCode>
                <c:ptCount val="7"/>
                <c:pt idx="0">
                  <c:v>0.17856492977075389</c:v>
                </c:pt>
                <c:pt idx="1">
                  <c:v>9.3955011394815643E-2</c:v>
                </c:pt>
                <c:pt idx="2">
                  <c:v>9.3450930188774036E-3</c:v>
                </c:pt>
                <c:pt idx="3">
                  <c:v>-1.2685485856526247E-2</c:v>
                </c:pt>
                <c:pt idx="4">
                  <c:v>3.5486535743277603E-4</c:v>
                </c:pt>
                <c:pt idx="5">
                  <c:v>1.9565112784183415E-2</c:v>
                </c:pt>
                <c:pt idx="6">
                  <c:v>4.9687374662446611E-2</c:v>
                </c:pt>
              </c:numCache>
            </c:numRef>
          </c:yVal>
          <c:smooth val="1"/>
        </c:ser>
        <c:ser>
          <c:idx val="22"/>
          <c:order val="22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'C'!$X$4:$X$10</c:f>
              <c:numCache>
                <c:formatCode>General</c:formatCode>
                <c:ptCount val="7"/>
                <c:pt idx="0">
                  <c:v>0.18980596148541073</c:v>
                </c:pt>
                <c:pt idx="1">
                  <c:v>0.10076943021543451</c:v>
                </c:pt>
                <c:pt idx="2">
                  <c:v>1.1732898945458281E-2</c:v>
                </c:pt>
                <c:pt idx="3">
                  <c:v>-1.2058753624691989E-2</c:v>
                </c:pt>
                <c:pt idx="4">
                  <c:v>-1.682668154282583E-3</c:v>
                </c:pt>
                <c:pt idx="5">
                  <c:v>1.363553039974983E-2</c:v>
                </c:pt>
                <c:pt idx="6">
                  <c:v>4.0549059737435784E-2</c:v>
                </c:pt>
              </c:numCache>
            </c:numRef>
          </c:yVal>
          <c:smooth val="1"/>
        </c:ser>
        <c:ser>
          <c:idx val="23"/>
          <c:order val="23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'C'!$Y$4:$Y$10</c:f>
              <c:numCache>
                <c:formatCode>General</c:formatCode>
                <c:ptCount val="7"/>
                <c:pt idx="0">
                  <c:v>0.19916046882278932</c:v>
                </c:pt>
                <c:pt idx="1">
                  <c:v>0.10679567497086258</c:v>
                </c:pt>
                <c:pt idx="2">
                  <c:v>1.443088111893585E-2</c:v>
                </c:pt>
                <c:pt idx="3">
                  <c:v>-1.035947329722362E-2</c:v>
                </c:pt>
                <c:pt idx="4">
                  <c:v>-3.0581739549764477E-3</c:v>
                </c:pt>
                <c:pt idx="5">
                  <c:v>8.6266026146521527E-3</c:v>
                </c:pt>
                <c:pt idx="6">
                  <c:v>3.2485476518810341E-2</c:v>
                </c:pt>
              </c:numCache>
            </c:numRef>
          </c:yVal>
          <c:smooth val="1"/>
        </c:ser>
        <c:ser>
          <c:idx val="24"/>
          <c:order val="24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'C'!$Z$4:$Z$10</c:f>
              <c:numCache>
                <c:formatCode>General</c:formatCode>
                <c:ptCount val="7"/>
                <c:pt idx="0">
                  <c:v>0.2065610474395187</c:v>
                </c:pt>
                <c:pt idx="1">
                  <c:v>0.11206058480519387</c:v>
                </c:pt>
                <c:pt idx="2">
                  <c:v>1.7560122170869059E-2</c:v>
                </c:pt>
                <c:pt idx="3">
                  <c:v>-7.4196592432264428E-3</c:v>
                </c:pt>
                <c:pt idx="4">
                  <c:v>-4.0961995255381582E-3</c:v>
                </c:pt>
                <c:pt idx="5">
                  <c:v>4.5096272243858931E-3</c:v>
                </c:pt>
                <c:pt idx="6">
                  <c:v>2.5387306710426043E-2</c:v>
                </c:pt>
              </c:numCache>
            </c:numRef>
          </c:yVal>
          <c:smooth val="1"/>
        </c:ser>
        <c:ser>
          <c:idx val="25"/>
          <c:order val="25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'C'!$AA$4:$AA$10</c:f>
              <c:numCache>
                <c:formatCode>General</c:formatCode>
                <c:ptCount val="7"/>
                <c:pt idx="0">
                  <c:v>0.21199596890750139</c:v>
                </c:pt>
                <c:pt idx="1">
                  <c:v>0.11664748026696022</c:v>
                </c:pt>
                <c:pt idx="2">
                  <c:v>2.1298991626419031E-2</c:v>
                </c:pt>
                <c:pt idx="3">
                  <c:v>-3.0132334490393831E-3</c:v>
                </c:pt>
                <c:pt idx="4">
                  <c:v>-4.9455567251850165E-3</c:v>
                </c:pt>
                <c:pt idx="5">
                  <c:v>1.3407368821427687E-3</c:v>
                </c:pt>
                <c:pt idx="6">
                  <c:v>1.9177996313217E-2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77856"/>
        <c:axId val="130779392"/>
      </c:scatterChart>
      <c:valAx>
        <c:axId val="13077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779392"/>
        <c:crosses val="autoZero"/>
        <c:crossBetween val="midCat"/>
      </c:valAx>
      <c:valAx>
        <c:axId val="13077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777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xVal>
            <c:numRef>
              <c:f>Deadrise!$A$2:$A$25</c:f>
              <c:numCache>
                <c:formatCode>General</c:formatCode>
                <c:ptCount val="24"/>
                <c:pt idx="0">
                  <c:v>0.75</c:v>
                </c:pt>
                <c:pt idx="1">
                  <c:v>0.74</c:v>
                </c:pt>
                <c:pt idx="2">
                  <c:v>0.72</c:v>
                </c:pt>
                <c:pt idx="3">
                  <c:v>0.7</c:v>
                </c:pt>
                <c:pt idx="4">
                  <c:v>0.68</c:v>
                </c:pt>
                <c:pt idx="5">
                  <c:v>0.66</c:v>
                </c:pt>
                <c:pt idx="6">
                  <c:v>0.64</c:v>
                </c:pt>
                <c:pt idx="7">
                  <c:v>0.62</c:v>
                </c:pt>
                <c:pt idx="8">
                  <c:v>0.6</c:v>
                </c:pt>
                <c:pt idx="9">
                  <c:v>0.57999999999999996</c:v>
                </c:pt>
                <c:pt idx="10">
                  <c:v>0.56000000000000005</c:v>
                </c:pt>
                <c:pt idx="11">
                  <c:v>0.54</c:v>
                </c:pt>
                <c:pt idx="12">
                  <c:v>0.52</c:v>
                </c:pt>
                <c:pt idx="13">
                  <c:v>0.5</c:v>
                </c:pt>
                <c:pt idx="14">
                  <c:v>0.48</c:v>
                </c:pt>
                <c:pt idx="15">
                  <c:v>0.46</c:v>
                </c:pt>
                <c:pt idx="16">
                  <c:v>0.44</c:v>
                </c:pt>
                <c:pt idx="17">
                  <c:v>0.42</c:v>
                </c:pt>
                <c:pt idx="18">
                  <c:v>0.4</c:v>
                </c:pt>
                <c:pt idx="19">
                  <c:v>0.38</c:v>
                </c:pt>
                <c:pt idx="20">
                  <c:v>0.36</c:v>
                </c:pt>
                <c:pt idx="21">
                  <c:v>0.34</c:v>
                </c:pt>
                <c:pt idx="22">
                  <c:v>0.32</c:v>
                </c:pt>
                <c:pt idx="23">
                  <c:v>0.3</c:v>
                </c:pt>
              </c:numCache>
            </c:numRef>
          </c:xVal>
          <c:yVal>
            <c:numRef>
              <c:f>Deadrise!$B$2:$B$25</c:f>
              <c:numCache>
                <c:formatCode>General</c:formatCode>
                <c:ptCount val="24"/>
                <c:pt idx="0">
                  <c:v>18.95</c:v>
                </c:pt>
                <c:pt idx="1">
                  <c:v>20.350000000000001</c:v>
                </c:pt>
                <c:pt idx="2">
                  <c:v>23.83</c:v>
                </c:pt>
                <c:pt idx="3">
                  <c:v>28.63</c:v>
                </c:pt>
                <c:pt idx="4">
                  <c:v>35.549999999999997</c:v>
                </c:pt>
                <c:pt idx="5">
                  <c:v>45.95</c:v>
                </c:pt>
                <c:pt idx="6">
                  <c:v>61.84</c:v>
                </c:pt>
                <c:pt idx="7">
                  <c:v>84.11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88.57</c:v>
                </c:pt>
                <c:pt idx="20">
                  <c:v>83.65</c:v>
                </c:pt>
                <c:pt idx="21">
                  <c:v>73.56</c:v>
                </c:pt>
                <c:pt idx="22">
                  <c:v>58.93</c:v>
                </c:pt>
                <c:pt idx="23">
                  <c:v>37.090000000000003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29984"/>
        <c:axId val="130335872"/>
      </c:scatterChart>
      <c:valAx>
        <c:axId val="1303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335872"/>
        <c:crosses val="autoZero"/>
        <c:crossBetween val="midCat"/>
      </c:valAx>
      <c:valAx>
        <c:axId val="13033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329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Prismatic Coefficient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050209488983682E-2"/>
          <c:y val="8.5064895726954207E-2"/>
          <c:w val="0.87151770807215279"/>
          <c:h val="0.82554778155861563"/>
        </c:manualLayout>
      </c:layout>
      <c:scatterChart>
        <c:scatterStyle val="smoothMarker"/>
        <c:varyColors val="0"/>
        <c:ser>
          <c:idx val="0"/>
          <c:order val="0"/>
          <c:tx>
            <c:v>Ref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 Ref Calcs'!$A$15:$A$35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'Cp Ref Calcs'!$B$15:$B$35</c:f>
              <c:numCache>
                <c:formatCode>0.0000</c:formatCode>
                <c:ptCount val="21"/>
                <c:pt idx="0">
                  <c:v>8.8754E-2</c:v>
                </c:pt>
                <c:pt idx="1">
                  <c:v>0.17926400371599385</c:v>
                </c:pt>
                <c:pt idx="2">
                  <c:v>0.29054172211198948</c:v>
                </c:pt>
                <c:pt idx="3">
                  <c:v>0.41372513868798633</c:v>
                </c:pt>
                <c:pt idx="4">
                  <c:v>0.54045382758398408</c:v>
                </c:pt>
                <c:pt idx="5">
                  <c:v>0.66298683749998255</c:v>
                </c:pt>
                <c:pt idx="6">
                  <c:v>0.77432057561598133</c:v>
                </c:pt>
                <c:pt idx="7">
                  <c:v>0.86830669151197992</c:v>
                </c:pt>
                <c:pt idx="8">
                  <c:v>0.93976996108797883</c:v>
                </c:pt>
                <c:pt idx="9">
                  <c:v>0.98462617048397738</c:v>
                </c:pt>
                <c:pt idx="10">
                  <c:v>0.99999999999997513</c:v>
                </c:pt>
                <c:pt idx="11">
                  <c:v>0.98434290801597268</c:v>
                </c:pt>
                <c:pt idx="12">
                  <c:v>0.93755101491196891</c:v>
                </c:pt>
                <c:pt idx="13">
                  <c:v>0.86108298698796415</c:v>
                </c:pt>
                <c:pt idx="14">
                  <c:v>0.75807792038395738</c:v>
                </c:pt>
                <c:pt idx="15">
                  <c:v>0.63347322499994951</c:v>
                </c:pt>
                <c:pt idx="16">
                  <c:v>0.49412250841593885</c:v>
                </c:pt>
                <c:pt idx="17">
                  <c:v>0.34891345981192567</c:v>
                </c:pt>
                <c:pt idx="18">
                  <c:v>0.20888573388790999</c:v>
                </c:pt>
                <c:pt idx="19">
                  <c:v>8.7348834783889551E-2</c:v>
                </c:pt>
                <c:pt idx="20">
                  <c:v>-1.3677947663381929E-13</c:v>
                </c:pt>
              </c:numCache>
            </c:numRef>
          </c:yVal>
          <c:smooth val="1"/>
        </c:ser>
        <c:ser>
          <c:idx val="1"/>
          <c:order val="1"/>
          <c:tx>
            <c:v>Actual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'Cp Calcs'!$A$18:$A$38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'Cp Calcs'!$B$18:$B$38</c:f>
              <c:numCache>
                <c:formatCode>0.0000</c:formatCode>
                <c:ptCount val="21"/>
                <c:pt idx="0">
                  <c:v>8.8754E-2</c:v>
                </c:pt>
                <c:pt idx="1">
                  <c:v>0.17926400371593501</c:v>
                </c:pt>
                <c:pt idx="2">
                  <c:v>0.29054172211186685</c:v>
                </c:pt>
                <c:pt idx="3">
                  <c:v>0.41372513868780503</c:v>
                </c:pt>
                <c:pt idx="4">
                  <c:v>0.54045382758375449</c:v>
                </c:pt>
                <c:pt idx="5">
                  <c:v>0.66298683749971621</c:v>
                </c:pt>
                <c:pt idx="6">
                  <c:v>0.77432057561569034</c:v>
                </c:pt>
                <c:pt idx="7">
                  <c:v>0.86830669151167428</c:v>
                </c:pt>
                <c:pt idx="8">
                  <c:v>0.93976996108766619</c:v>
                </c:pt>
                <c:pt idx="9">
                  <c:v>0.98462617048366297</c:v>
                </c:pt>
                <c:pt idx="10">
                  <c:v>0.99999999999966294</c:v>
                </c:pt>
                <c:pt idx="11">
                  <c:v>0.98434290801566515</c:v>
                </c:pt>
                <c:pt idx="12">
                  <c:v>0.93755101491166903</c:v>
                </c:pt>
                <c:pt idx="13">
                  <c:v>0.86108298698767416</c:v>
                </c:pt>
                <c:pt idx="14">
                  <c:v>0.75807792038368271</c:v>
                </c:pt>
                <c:pt idx="15">
                  <c:v>0.6334732249996915</c:v>
                </c:pt>
                <c:pt idx="16">
                  <c:v>0.49412250841570216</c:v>
                </c:pt>
                <c:pt idx="17">
                  <c:v>0.34891345981171229</c:v>
                </c:pt>
                <c:pt idx="18">
                  <c:v>0.20888573388771808</c:v>
                </c:pt>
                <c:pt idx="19">
                  <c:v>8.7348834783712415E-2</c:v>
                </c:pt>
                <c:pt idx="20">
                  <c:v>-3.2329694477084558E-13</c:v>
                </c:pt>
              </c:numCache>
            </c:numRef>
          </c:yVal>
          <c:smooth val="1"/>
        </c:ser>
        <c:ser>
          <c:idx val="2"/>
          <c:order val="2"/>
          <c:xVal>
            <c:numRef>
              <c:f>Cp!$X$2:$X$23</c:f>
              <c:numCache>
                <c:formatCode>General</c:formatCode>
                <c:ptCount val="22"/>
                <c:pt idx="0">
                  <c:v>1</c:v>
                </c:pt>
                <c:pt idx="1">
                  <c:v>0.95</c:v>
                </c:pt>
                <c:pt idx="2">
                  <c:v>0.9</c:v>
                </c:pt>
                <c:pt idx="3">
                  <c:v>0.85</c:v>
                </c:pt>
                <c:pt idx="4">
                  <c:v>0.82499999999999996</c:v>
                </c:pt>
                <c:pt idx="5">
                  <c:v>0.8</c:v>
                </c:pt>
                <c:pt idx="6">
                  <c:v>0.75</c:v>
                </c:pt>
                <c:pt idx="7">
                  <c:v>0.7</c:v>
                </c:pt>
                <c:pt idx="8">
                  <c:v>0.65</c:v>
                </c:pt>
                <c:pt idx="9">
                  <c:v>0.6</c:v>
                </c:pt>
                <c:pt idx="10">
                  <c:v>0.55000000000000004</c:v>
                </c:pt>
                <c:pt idx="11">
                  <c:v>0.5</c:v>
                </c:pt>
                <c:pt idx="12">
                  <c:v>0.44999999999999996</c:v>
                </c:pt>
                <c:pt idx="13">
                  <c:v>0.4</c:v>
                </c:pt>
                <c:pt idx="14">
                  <c:v>0.35</c:v>
                </c:pt>
                <c:pt idx="15">
                  <c:v>0.30000000000000004</c:v>
                </c:pt>
                <c:pt idx="16">
                  <c:v>0.25</c:v>
                </c:pt>
                <c:pt idx="17">
                  <c:v>0.19999999999999996</c:v>
                </c:pt>
                <c:pt idx="18">
                  <c:v>0.15000000000000002</c:v>
                </c:pt>
                <c:pt idx="19">
                  <c:v>9.9999999999999978E-2</c:v>
                </c:pt>
                <c:pt idx="20">
                  <c:v>5.0000000000000044E-2</c:v>
                </c:pt>
                <c:pt idx="21">
                  <c:v>0</c:v>
                </c:pt>
              </c:numCache>
            </c:numRef>
          </c:xVal>
          <c:yVal>
            <c:numRef>
              <c:f>Cp!$Y$2:$Y$23</c:f>
              <c:numCache>
                <c:formatCode>General</c:formatCode>
                <c:ptCount val="22"/>
                <c:pt idx="0">
                  <c:v>0</c:v>
                </c:pt>
                <c:pt idx="1">
                  <c:v>0.10919502691172701</c:v>
                </c:pt>
                <c:pt idx="2">
                  <c:v>0.22081654498465042</c:v>
                </c:pt>
                <c:pt idx="3">
                  <c:v>0.30724700978103087</c:v>
                </c:pt>
                <c:pt idx="4">
                  <c:v>0.34035478699879085</c:v>
                </c:pt>
                <c:pt idx="5">
                  <c:v>0.43825868469035834</c:v>
                </c:pt>
                <c:pt idx="6">
                  <c:v>0.5592335836515524</c:v>
                </c:pt>
                <c:pt idx="7">
                  <c:v>0.67590858559320022</c:v>
                </c:pt>
                <c:pt idx="8">
                  <c:v>0.78498857596132698</c:v>
                </c:pt>
                <c:pt idx="9">
                  <c:v>0.86735539110312576</c:v>
                </c:pt>
                <c:pt idx="10">
                  <c:v>0.9374747138953422</c:v>
                </c:pt>
                <c:pt idx="11">
                  <c:v>0.98781912485786971</c:v>
                </c:pt>
                <c:pt idx="12">
                  <c:v>1</c:v>
                </c:pt>
                <c:pt idx="13">
                  <c:v>0.96590011383418428</c:v>
                </c:pt>
                <c:pt idx="14">
                  <c:v>0.8881792802286953</c:v>
                </c:pt>
                <c:pt idx="15">
                  <c:v>0.78200250025753237</c:v>
                </c:pt>
                <c:pt idx="16">
                  <c:v>0.66642456998592592</c:v>
                </c:pt>
                <c:pt idx="17">
                  <c:v>0.53276185518199004</c:v>
                </c:pt>
                <c:pt idx="18">
                  <c:v>0.38807350510174071</c:v>
                </c:pt>
                <c:pt idx="19">
                  <c:v>0.25773580135463658</c:v>
                </c:pt>
                <c:pt idx="20">
                  <c:v>0.15205881292035864</c:v>
                </c:pt>
                <c:pt idx="21">
                  <c:v>8.8754267969504266E-2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79904"/>
        <c:axId val="144381440"/>
      </c:scatterChart>
      <c:valAx>
        <c:axId val="14437990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81440"/>
        <c:crosses val="autoZero"/>
        <c:crossBetween val="midCat"/>
      </c:valAx>
      <c:valAx>
        <c:axId val="144381440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79904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89609960044106"/>
          <c:y val="0.94405504181873834"/>
          <c:w val="0.20473109440252504"/>
          <c:h val="5.59449145374661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Design Waterplane Coefficient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Opt1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'Cwl Opt1 Calcs'!$A$24:$A$44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Opt1 Calcs'!$B$24:$B$44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0.7149726843913502</c:v>
                </c:pt>
                <c:pt idx="2">
                  <c:v>0.78109592776704762</c:v>
                </c:pt>
                <c:pt idx="3">
                  <c:v>0.82432248110834339</c:v>
                </c:pt>
                <c:pt idx="4">
                  <c:v>0.85687702582528769</c:v>
                </c:pt>
                <c:pt idx="5">
                  <c:v>0.88615828682813158</c:v>
                </c:pt>
                <c:pt idx="6">
                  <c:v>0.91549614559872561</c:v>
                </c:pt>
                <c:pt idx="7">
                  <c:v>0.94490875326191981</c:v>
                </c:pt>
                <c:pt idx="8">
                  <c:v>0.97185964365696431</c:v>
                </c:pt>
                <c:pt idx="9">
                  <c:v>0.99201484640890902</c:v>
                </c:pt>
                <c:pt idx="10">
                  <c:v>1.0000000000000036</c:v>
                </c:pt>
                <c:pt idx="11">
                  <c:v>0.99015746484109912</c:v>
                </c:pt>
                <c:pt idx="12">
                  <c:v>0.95730343634304282</c:v>
                </c:pt>
                <c:pt idx="13">
                  <c:v>0.89748505798808642</c:v>
                </c:pt>
                <c:pt idx="14">
                  <c:v>0.80873753440128393</c:v>
                </c:pt>
                <c:pt idx="15">
                  <c:v>0.69184124442187489</c:v>
                </c:pt>
                <c:pt idx="16">
                  <c:v>0.55107885417471891</c:v>
                </c:pt>
                <c:pt idx="17">
                  <c:v>0.39499243014166296</c:v>
                </c:pt>
                <c:pt idx="18">
                  <c:v>0.23714055223295816</c:v>
                </c:pt>
                <c:pt idx="19">
                  <c:v>9.6855426858642346E-2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Opt2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'Cwl Opt2 Calcs'!$A$21:$A$41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Opt2 Calcs'!$B$21:$B$41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0.77066853818811043</c:v>
                </c:pt>
                <c:pt idx="2">
                  <c:v>0.82731456912873114</c:v>
                </c:pt>
                <c:pt idx="3">
                  <c:v>0.8388873874544881</c:v>
                </c:pt>
                <c:pt idx="4">
                  <c:v>0.84188719619437435</c:v>
                </c:pt>
                <c:pt idx="5">
                  <c:v>0.85439069676975332</c:v>
                </c:pt>
                <c:pt idx="6">
                  <c:v>0.88124854873374492</c:v>
                </c:pt>
                <c:pt idx="7">
                  <c:v>0.91859969925399954</c:v>
                </c:pt>
                <c:pt idx="8">
                  <c:v>0.95770258233886107</c:v>
                </c:pt>
                <c:pt idx="9">
                  <c:v>0.9880831878069134</c:v>
                </c:pt>
                <c:pt idx="10">
                  <c:v>0.99999999999991185</c:v>
                </c:pt>
                <c:pt idx="11">
                  <c:v>0.98622580623910538</c:v>
                </c:pt>
                <c:pt idx="12">
                  <c:v>0.94314637502494758</c:v>
                </c:pt>
                <c:pt idx="13">
                  <c:v>0.87117600398016393</c:v>
                </c:pt>
                <c:pt idx="14">
                  <c:v>0.77448993753629836</c:v>
                </c:pt>
                <c:pt idx="15">
                  <c:v>0.66007365436348664</c:v>
                </c:pt>
                <c:pt idx="16">
                  <c:v>0.53608902454377905</c:v>
                </c:pt>
                <c:pt idx="17">
                  <c:v>0.40955733648778292</c:v>
                </c:pt>
                <c:pt idx="18">
                  <c:v>0.28335919359457762</c:v>
                </c:pt>
                <c:pt idx="19">
                  <c:v>0.15255128065530954</c:v>
                </c:pt>
                <c:pt idx="20">
                  <c:v>-1.5631940186722204E-13</c:v>
                </c:pt>
              </c:numCache>
            </c:numRef>
          </c:yVal>
          <c:smooth val="1"/>
        </c:ser>
        <c:ser>
          <c:idx val="2"/>
          <c:order val="2"/>
          <c:tx>
            <c:v>Opt3</c:v>
          </c:tx>
          <c:xVal>
            <c:numRef>
              <c:f>'Cwl Opt3 Calcs'!$A$33:$A$53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Opt3 Calcs'!$B$33:$B$53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0.66925327285799885</c:v>
                </c:pt>
                <c:pt idx="2">
                  <c:v>0.7277972723334829</c:v>
                </c:pt>
                <c:pt idx="3">
                  <c:v>0.78484025589652306</c:v>
                </c:pt>
                <c:pt idx="4">
                  <c:v>0.83969717409136657</c:v>
                </c:pt>
                <c:pt idx="5">
                  <c:v>0.89050120538174504</c:v>
                </c:pt>
                <c:pt idx="6">
                  <c:v>0.93469629148079614</c:v>
                </c:pt>
                <c:pt idx="7">
                  <c:v>0.96945567316559722</c:v>
                </c:pt>
                <c:pt idx="8">
                  <c:v>0.99202642657631113</c:v>
                </c:pt>
                <c:pt idx="9">
                  <c:v>0.99999999999994815</c:v>
                </c:pt>
                <c:pt idx="10">
                  <c:v>0.99150875113873571</c:v>
                </c:pt>
                <c:pt idx="11">
                  <c:v>0.96534848486310576</c:v>
                </c:pt>
                <c:pt idx="12">
                  <c:v>0.92102699144929068</c:v>
                </c:pt>
                <c:pt idx="13">
                  <c:v>0.8587385853015379</c:v>
                </c:pt>
                <c:pt idx="14">
                  <c:v>0.77926464415892849</c:v>
                </c:pt>
                <c:pt idx="15">
                  <c:v>0.68380014878681705</c:v>
                </c:pt>
                <c:pt idx="16">
                  <c:v>0.57370622315288178</c:v>
                </c:pt>
                <c:pt idx="17">
                  <c:v>0.45018867508778548</c:v>
                </c:pt>
                <c:pt idx="18">
                  <c:v>0.31390253743044694</c:v>
                </c:pt>
                <c:pt idx="19">
                  <c:v>0.16448260965793526</c:v>
                </c:pt>
                <c:pt idx="20">
                  <c:v>-3.1974423109204508E-14</c:v>
                </c:pt>
              </c:numCache>
            </c:numRef>
          </c:yVal>
          <c:smooth val="1"/>
        </c:ser>
        <c:ser>
          <c:idx val="3"/>
          <c:order val="3"/>
          <c:tx>
            <c:v>Opt4 - Ref Data</c:v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Cwl!$F$49:$F$69</c:f>
              <c:numCache>
                <c:formatCode>0.00</c:formatCode>
                <c:ptCount val="21"/>
                <c:pt idx="0">
                  <c:v>1</c:v>
                </c:pt>
                <c:pt idx="1">
                  <c:v>0.95</c:v>
                </c:pt>
                <c:pt idx="2">
                  <c:v>0.9</c:v>
                </c:pt>
                <c:pt idx="3">
                  <c:v>0.85</c:v>
                </c:pt>
                <c:pt idx="4">
                  <c:v>0.8</c:v>
                </c:pt>
                <c:pt idx="5">
                  <c:v>0.75</c:v>
                </c:pt>
                <c:pt idx="6">
                  <c:v>0.7</c:v>
                </c:pt>
                <c:pt idx="7">
                  <c:v>0.65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</c:v>
                </c:pt>
                <c:pt idx="11">
                  <c:v>0.45</c:v>
                </c:pt>
                <c:pt idx="12">
                  <c:v>0.4</c:v>
                </c:pt>
                <c:pt idx="13">
                  <c:v>0.35</c:v>
                </c:pt>
                <c:pt idx="14">
                  <c:v>0.3</c:v>
                </c:pt>
                <c:pt idx="15">
                  <c:v>0.25</c:v>
                </c:pt>
                <c:pt idx="16">
                  <c:v>0.2</c:v>
                </c:pt>
                <c:pt idx="17">
                  <c:v>0.15</c:v>
                </c:pt>
                <c:pt idx="18">
                  <c:v>0.1</c:v>
                </c:pt>
                <c:pt idx="19">
                  <c:v>0.05</c:v>
                </c:pt>
                <c:pt idx="20">
                  <c:v>0</c:v>
                </c:pt>
              </c:numCache>
            </c:numRef>
          </c:xVal>
          <c:yVal>
            <c:numRef>
              <c:f>Cwl!$G$49:$G$69</c:f>
              <c:numCache>
                <c:formatCode>0.00</c:formatCode>
                <c:ptCount val="21"/>
                <c:pt idx="0">
                  <c:v>0</c:v>
                </c:pt>
                <c:pt idx="1">
                  <c:v>0.14006872095141659</c:v>
                </c:pt>
                <c:pt idx="2">
                  <c:v>0.27023603231833648</c:v>
                </c:pt>
                <c:pt idx="3">
                  <c:v>0.44130544386870996</c:v>
                </c:pt>
                <c:pt idx="4">
                  <c:v>0.5447936041215623</c:v>
                </c:pt>
                <c:pt idx="5">
                  <c:v>0.65727649802776811</c:v>
                </c:pt>
                <c:pt idx="6">
                  <c:v>0.75926482987115884</c:v>
                </c:pt>
                <c:pt idx="7">
                  <c:v>0.84325522080101001</c:v>
                </c:pt>
                <c:pt idx="8">
                  <c:v>0.89874463514767389</c:v>
                </c:pt>
                <c:pt idx="9">
                  <c:v>0.95273845788829259</c:v>
                </c:pt>
                <c:pt idx="10">
                  <c:v>0.99623348176267978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0.96250428976345936</c:v>
                </c:pt>
                <c:pt idx="15">
                  <c:v>0.92950806475530345</c:v>
                </c:pt>
                <c:pt idx="16">
                  <c:v>0.88751286929037787</c:v>
                </c:pt>
                <c:pt idx="17">
                  <c:v>0.82602414130586765</c:v>
                </c:pt>
                <c:pt idx="18">
                  <c:v>0.77053049015578723</c:v>
                </c:pt>
                <c:pt idx="19">
                  <c:v>0.69253941286378262</c:v>
                </c:pt>
                <c:pt idx="20">
                  <c:v>0.61755222919411767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66816"/>
        <c:axId val="144077184"/>
      </c:scatterChart>
      <c:valAx>
        <c:axId val="144066816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77184"/>
        <c:crosses val="autoZero"/>
        <c:crossBetween val="midCat"/>
      </c:valAx>
      <c:valAx>
        <c:axId val="144077184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66816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rgbClr val="003366"/>
          </a:solidFill>
          <a:prstDash val="solid"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30202957917135E-2"/>
          <c:y val="5.4112668494378534E-2"/>
          <c:w val="0.85479509230194628"/>
          <c:h val="0.77922242631905458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Inputs!$B$10</c:f>
              <c:numCache>
                <c:formatCode>0.000</c:formatCode>
                <c:ptCount val="1"/>
                <c:pt idx="0">
                  <c:v>0.60119999999999996</c:v>
                </c:pt>
              </c:numCache>
            </c:numRef>
          </c:xVal>
          <c:yVal>
            <c:numRef>
              <c:f>Inputs!$B$18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1"/>
        </c:ser>
        <c:ser>
          <c:idx val="2"/>
          <c:order val="1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99CC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Inputs!$B$10</c:f>
              <c:numCache>
                <c:formatCode>0.000</c:formatCode>
                <c:ptCount val="1"/>
                <c:pt idx="0">
                  <c:v>0.60119999999999996</c:v>
                </c:pt>
              </c:numCache>
            </c:numRef>
          </c:xVal>
          <c:yVal>
            <c:numRef>
              <c:f>Cwl!$D$43</c:f>
              <c:numCache>
                <c:formatCode>0.00</c:formatCode>
                <c:ptCount val="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3968"/>
        <c:axId val="144394496"/>
      </c:scatterChart>
      <c:valAx>
        <c:axId val="144083968"/>
        <c:scaling>
          <c:orientation val="minMax"/>
          <c:max val="0.8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Prismatic Coefficient</a:t>
                </a:r>
              </a:p>
            </c:rich>
          </c:tx>
          <c:layout>
            <c:manualLayout>
              <c:xMode val="edge"/>
              <c:yMode val="edge"/>
              <c:x val="0.43424686297774423"/>
              <c:y val="0.891776709729465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94496"/>
        <c:crosses val="autoZero"/>
        <c:crossBetween val="midCat"/>
      </c:valAx>
      <c:valAx>
        <c:axId val="144394496"/>
        <c:scaling>
          <c:orientation val="minMax"/>
          <c:max val="1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Half Entrance Angle</a:t>
                </a:r>
              </a:p>
            </c:rich>
          </c:tx>
          <c:layout>
            <c:manualLayout>
              <c:xMode val="edge"/>
              <c:yMode val="edge"/>
              <c:x val="2.2369912941992153E-2"/>
              <c:y val="0.32467616048580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083968"/>
        <c:crosses val="autoZero"/>
        <c:crossBetween val="midCat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solidFill>
            <a:srgbClr val="0000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15924267596207"/>
          <c:y val="0.69756414197868466"/>
          <c:w val="0.10547748887004985"/>
          <c:h val="0.11771394895890304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Weatherdeck Coefficient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851698024731207E-2"/>
          <c:y val="8.6150471075508619E-2"/>
          <c:w val="0.8721708468961149"/>
          <c:h val="0.82100933048108871"/>
        </c:manualLayout>
      </c:layout>
      <c:scatterChart>
        <c:scatterStyle val="smoothMarker"/>
        <c:varyColors val="0"/>
        <c:ser>
          <c:idx val="0"/>
          <c:order val="0"/>
          <c:tx>
            <c:v>Opt1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'CWD Opt1 Calcs'!$A$26:$A$46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Opt1 Calcs'!$B$26:$B$46</c:f>
              <c:numCache>
                <c:formatCode>0.0000</c:formatCode>
                <c:ptCount val="21"/>
                <c:pt idx="0">
                  <c:v>0.6</c:v>
                </c:pt>
                <c:pt idx="1">
                  <c:v>0.71393558022071069</c:v>
                </c:pt>
                <c:pt idx="2">
                  <c:v>0.79142098237550451</c:v>
                </c:pt>
                <c:pt idx="3">
                  <c:v>0.84501195917185856</c:v>
                </c:pt>
                <c:pt idx="4">
                  <c:v>0.88392015722590567</c:v>
                </c:pt>
                <c:pt idx="5">
                  <c:v>0.91439595105070526</c:v>
                </c:pt>
                <c:pt idx="6">
                  <c:v>0.94011127704451303</c:v>
                </c:pt>
                <c:pt idx="7">
                  <c:v>0.96254246747905214</c:v>
                </c:pt>
                <c:pt idx="8">
                  <c:v>0.98135308448778558</c:v>
                </c:pt>
                <c:pt idx="9">
                  <c:v>0.99477675405418442</c:v>
                </c:pt>
                <c:pt idx="10">
                  <c:v>1.0000000000000009</c:v>
                </c:pt>
                <c:pt idx="11">
                  <c:v>0.99354507797353764</c:v>
                </c:pt>
                <c:pt idx="12">
                  <c:v>0.97165280943791832</c:v>
                </c:pt>
                <c:pt idx="13">
                  <c:v>0.93066541565936056</c:v>
                </c:pt>
                <c:pt idx="14">
                  <c:v>0.86740935169544597</c:v>
                </c:pt>
                <c:pt idx="15">
                  <c:v>0.77957814038338613</c:v>
                </c:pt>
                <c:pt idx="16">
                  <c:v>0.66611520632830468</c:v>
                </c:pt>
                <c:pt idx="17">
                  <c:v>0.52759670989149932</c:v>
                </c:pt>
                <c:pt idx="18">
                  <c:v>0.36661438117870127</c:v>
                </c:pt>
                <c:pt idx="19">
                  <c:v>0.18815835402838221</c:v>
                </c:pt>
                <c:pt idx="20">
                  <c:v>-1.4210854715202004E-14</c:v>
                </c:pt>
              </c:numCache>
            </c:numRef>
          </c:yVal>
          <c:smooth val="1"/>
        </c:ser>
        <c:ser>
          <c:idx val="1"/>
          <c:order val="1"/>
          <c:tx>
            <c:v>Opt2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'CWD Opt2 Calcs'!$A$21:$A$41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Opt2 Calcs'!$B$21:$B$41</c:f>
              <c:numCache>
                <c:formatCode>0.0000</c:formatCode>
                <c:ptCount val="21"/>
                <c:pt idx="0">
                  <c:v>0.6</c:v>
                </c:pt>
                <c:pt idx="1">
                  <c:v>0.73913608975601319</c:v>
                </c:pt>
                <c:pt idx="2">
                  <c:v>0.81233337051471288</c:v>
                </c:pt>
                <c:pt idx="3">
                  <c:v>0.85160209176221446</c:v>
                </c:pt>
                <c:pt idx="4">
                  <c:v>0.87713776107251595</c:v>
                </c:pt>
                <c:pt idx="5">
                  <c:v>0.90002217990597089</c:v>
                </c:pt>
                <c:pt idx="6">
                  <c:v>0.92461538583307035</c:v>
                </c:pt>
                <c:pt idx="7">
                  <c:v>0.95063850118352555</c:v>
                </c:pt>
                <c:pt idx="8">
                  <c:v>0.97494748812066412</c:v>
                </c:pt>
                <c:pt idx="9">
                  <c:v>0.99299781014112853</c:v>
                </c:pt>
                <c:pt idx="10">
                  <c:v>0.9999999999998761</c:v>
                </c:pt>
                <c:pt idx="11">
                  <c:v>0.99176613406050029</c:v>
                </c:pt>
                <c:pt idx="12">
                  <c:v>0.96524721307083428</c:v>
                </c:pt>
                <c:pt idx="13">
                  <c:v>0.91876144936388959</c:v>
                </c:pt>
                <c:pt idx="14">
                  <c:v>0.85191346048407679</c:v>
                </c:pt>
                <c:pt idx="15">
                  <c:v>0.76520436923874602</c:v>
                </c:pt>
                <c:pt idx="16">
                  <c:v>0.65933281017503642</c:v>
                </c:pt>
                <c:pt idx="17">
                  <c:v>0.53418684248199</c:v>
                </c:pt>
                <c:pt idx="18">
                  <c:v>0.38752676931809305</c:v>
                </c:pt>
                <c:pt idx="19">
                  <c:v>0.21335886356386879</c:v>
                </c:pt>
                <c:pt idx="20">
                  <c:v>1.9895196601282805E-13</c:v>
                </c:pt>
              </c:numCache>
            </c:numRef>
          </c:yVal>
          <c:smooth val="1"/>
        </c:ser>
        <c:ser>
          <c:idx val="4"/>
          <c:order val="2"/>
          <c:tx>
            <c:v>Opt3</c:v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'CWD Opt3 Calcs'!$A$26:$A$46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Opt3 Calcs'!$B$26:$B$46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0.68976171921482166</c:v>
                </c:pt>
                <c:pt idx="2">
                  <c:v>0.7684925722926359</c:v>
                </c:pt>
                <c:pt idx="3">
                  <c:v>0.8386870734197055</c:v>
                </c:pt>
                <c:pt idx="4">
                  <c:v>0.89725938056030208</c:v>
                </c:pt>
                <c:pt idx="5">
                  <c:v>0.94299851733482409</c:v>
                </c:pt>
                <c:pt idx="6">
                  <c:v>0.97595666906991263</c:v>
                </c:pt>
                <c:pt idx="7">
                  <c:v>0.99691555302056334</c:v>
                </c:pt>
                <c:pt idx="8">
                  <c:v>1.0069308627642357</c:v>
                </c:pt>
                <c:pt idx="9">
                  <c:v>1.0069547867669562</c:v>
                </c:pt>
                <c:pt idx="10">
                  <c:v>0.99753660112142484</c:v>
                </c:pt>
                <c:pt idx="11">
                  <c:v>0.97860133645710967</c:v>
                </c:pt>
                <c:pt idx="12">
                  <c:v>0.94930651902234553</c:v>
                </c:pt>
                <c:pt idx="13">
                  <c:v>0.90797698593842491</c:v>
                </c:pt>
                <c:pt idx="14">
                  <c:v>0.85211777462568716</c:v>
                </c:pt>
                <c:pt idx="15">
                  <c:v>0.77850508640160254</c:v>
                </c:pt>
                <c:pt idx="16">
                  <c:v>0.68335532425086365</c:v>
                </c:pt>
                <c:pt idx="17">
                  <c:v>0.56257220476744862</c:v>
                </c:pt>
                <c:pt idx="18">
                  <c:v>0.41207194426871263</c:v>
                </c:pt>
                <c:pt idx="19">
                  <c:v>0.22818651908145426</c:v>
                </c:pt>
                <c:pt idx="20">
                  <c:v>8.1449999999776423E-3</c:v>
                </c:pt>
              </c:numCache>
            </c:numRef>
          </c:yVal>
          <c:smooth val="1"/>
        </c:ser>
        <c:ser>
          <c:idx val="3"/>
          <c:order val="3"/>
          <c:tx>
            <c:v>Opt4 - Ref Data</c:v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CWD!$F$52:$F$72</c:f>
              <c:numCache>
                <c:formatCode>0.00</c:formatCode>
                <c:ptCount val="21"/>
                <c:pt idx="0">
                  <c:v>1</c:v>
                </c:pt>
                <c:pt idx="1">
                  <c:v>0.95</c:v>
                </c:pt>
                <c:pt idx="2">
                  <c:v>0.9</c:v>
                </c:pt>
                <c:pt idx="3">
                  <c:v>0.85</c:v>
                </c:pt>
                <c:pt idx="4">
                  <c:v>0.8</c:v>
                </c:pt>
                <c:pt idx="5">
                  <c:v>0.75</c:v>
                </c:pt>
                <c:pt idx="6">
                  <c:v>0.7</c:v>
                </c:pt>
                <c:pt idx="7">
                  <c:v>0.65</c:v>
                </c:pt>
                <c:pt idx="8">
                  <c:v>0.60000000000000009</c:v>
                </c:pt>
                <c:pt idx="9">
                  <c:v>0.55000000000000004</c:v>
                </c:pt>
                <c:pt idx="10">
                  <c:v>0.5</c:v>
                </c:pt>
                <c:pt idx="11">
                  <c:v>0.45000000000000007</c:v>
                </c:pt>
                <c:pt idx="12">
                  <c:v>0.4</c:v>
                </c:pt>
                <c:pt idx="13">
                  <c:v>0.35</c:v>
                </c:pt>
                <c:pt idx="14">
                  <c:v>0.29999999999999993</c:v>
                </c:pt>
                <c:pt idx="15">
                  <c:v>0.24999999999999989</c:v>
                </c:pt>
                <c:pt idx="16">
                  <c:v>0.19999999999999984</c:v>
                </c:pt>
                <c:pt idx="17">
                  <c:v>0.1499999999999998</c:v>
                </c:pt>
                <c:pt idx="18">
                  <c:v>9.9999999999999756E-2</c:v>
                </c:pt>
                <c:pt idx="19">
                  <c:v>4.9999999999999711E-2</c:v>
                </c:pt>
                <c:pt idx="20">
                  <c:v>0</c:v>
                </c:pt>
              </c:numCache>
            </c:numRef>
          </c:xVal>
          <c:yVal>
            <c:numRef>
              <c:f>CWD!$G$52:$G$72</c:f>
              <c:numCache>
                <c:formatCode>0.00</c:formatCode>
                <c:ptCount val="21"/>
                <c:pt idx="0">
                  <c:v>0</c:v>
                </c:pt>
                <c:pt idx="1">
                  <c:v>0.29653314100730277</c:v>
                </c:pt>
                <c:pt idx="2">
                  <c:v>0.4278573881952214</c:v>
                </c:pt>
                <c:pt idx="3">
                  <c:v>0.56491266525654549</c:v>
                </c:pt>
                <c:pt idx="4">
                  <c:v>0.67026423664267076</c:v>
                </c:pt>
                <c:pt idx="5">
                  <c:v>0.77505465575891785</c:v>
                </c:pt>
                <c:pt idx="6">
                  <c:v>0.84743395972168767</c:v>
                </c:pt>
                <c:pt idx="7">
                  <c:v>0.90938260011366978</c:v>
                </c:pt>
                <c:pt idx="8">
                  <c:v>0.94701098497429037</c:v>
                </c:pt>
                <c:pt idx="9">
                  <c:v>0.97652316833620778</c:v>
                </c:pt>
                <c:pt idx="10">
                  <c:v>1</c:v>
                </c:pt>
                <c:pt idx="11">
                  <c:v>0.99505528258707721</c:v>
                </c:pt>
                <c:pt idx="12">
                  <c:v>0.99037343336497308</c:v>
                </c:pt>
                <c:pt idx="13">
                  <c:v>0.98541228732875796</c:v>
                </c:pt>
                <c:pt idx="14">
                  <c:v>0.95485952688520637</c:v>
                </c:pt>
                <c:pt idx="15">
                  <c:v>0.91492119416112339</c:v>
                </c:pt>
                <c:pt idx="16">
                  <c:v>0.86802596484750272</c:v>
                </c:pt>
                <c:pt idx="17">
                  <c:v>0.80039418356022063</c:v>
                </c:pt>
                <c:pt idx="18">
                  <c:v>0.71931592806741851</c:v>
                </c:pt>
                <c:pt idx="19">
                  <c:v>0.64912987330653826</c:v>
                </c:pt>
                <c:pt idx="20">
                  <c:v>0.54983684772420549</c:v>
                </c:pt>
              </c:numCache>
            </c:numRef>
          </c:yVal>
          <c:smooth val="1"/>
        </c:ser>
        <c:ser>
          <c:idx val="2"/>
          <c:order val="4"/>
          <c:tx>
            <c:v>Dwl</c:v>
          </c:tx>
          <c:spPr>
            <a:ln>
              <a:prstDash val="dash"/>
            </a:ln>
          </c:spPr>
          <c:xVal>
            <c:numRef>
              <c:f>'Cxx Selected'!$B$27:$B$47</c:f>
              <c:numCache>
                <c:formatCode>0.00</c:formatCode>
                <c:ptCount val="21"/>
                <c:pt idx="0">
                  <c:v>8.0029988161484222E-3</c:v>
                </c:pt>
                <c:pt idx="1">
                  <c:v>5.5713464218296628E-2</c:v>
                </c:pt>
                <c:pt idx="2">
                  <c:v>0.10342392962044483</c:v>
                </c:pt>
                <c:pt idx="3">
                  <c:v>0.15113439502259302</c:v>
                </c:pt>
                <c:pt idx="4">
                  <c:v>0.19884486042474125</c:v>
                </c:pt>
                <c:pt idx="5">
                  <c:v>0.24655532582688947</c:v>
                </c:pt>
                <c:pt idx="6">
                  <c:v>0.29426579122903762</c:v>
                </c:pt>
                <c:pt idx="7">
                  <c:v>0.34197625663118586</c:v>
                </c:pt>
                <c:pt idx="8">
                  <c:v>0.38968672203333404</c:v>
                </c:pt>
                <c:pt idx="9">
                  <c:v>0.43739718743548223</c:v>
                </c:pt>
                <c:pt idx="10">
                  <c:v>0.48510765283763041</c:v>
                </c:pt>
                <c:pt idx="11">
                  <c:v>0.53281811823977865</c:v>
                </c:pt>
                <c:pt idx="12">
                  <c:v>0.58052858364192683</c:v>
                </c:pt>
                <c:pt idx="13">
                  <c:v>0.62823904904407513</c:v>
                </c:pt>
                <c:pt idx="14">
                  <c:v>0.67594951444622331</c:v>
                </c:pt>
                <c:pt idx="15">
                  <c:v>0.72365997984837138</c:v>
                </c:pt>
                <c:pt idx="16">
                  <c:v>0.77137044525051968</c:v>
                </c:pt>
                <c:pt idx="17">
                  <c:v>0.81908091065266786</c:v>
                </c:pt>
                <c:pt idx="18">
                  <c:v>0.86679137605481604</c:v>
                </c:pt>
                <c:pt idx="19">
                  <c:v>0.91450184145696423</c:v>
                </c:pt>
                <c:pt idx="20">
                  <c:v>0.96221230685911252</c:v>
                </c:pt>
              </c:numCache>
            </c:numRef>
          </c:xVal>
          <c:yVal>
            <c:numRef>
              <c:f>'Cxx Selected'!$H$27:$H$47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0.66925327285799885</c:v>
                </c:pt>
                <c:pt idx="2">
                  <c:v>0.7277972723334829</c:v>
                </c:pt>
                <c:pt idx="3">
                  <c:v>0.78484025589652306</c:v>
                </c:pt>
                <c:pt idx="4">
                  <c:v>0.83969717409136657</c:v>
                </c:pt>
                <c:pt idx="5">
                  <c:v>0.89050120538174493</c:v>
                </c:pt>
                <c:pt idx="6">
                  <c:v>0.93469629148079625</c:v>
                </c:pt>
                <c:pt idx="7">
                  <c:v>0.96945567316559722</c:v>
                </c:pt>
                <c:pt idx="8">
                  <c:v>0.99202642657631113</c:v>
                </c:pt>
                <c:pt idx="9">
                  <c:v>0.99999999999994804</c:v>
                </c:pt>
                <c:pt idx="10">
                  <c:v>0.9915087511387356</c:v>
                </c:pt>
                <c:pt idx="11">
                  <c:v>0.96534848486310565</c:v>
                </c:pt>
                <c:pt idx="12">
                  <c:v>0.92102699144929068</c:v>
                </c:pt>
                <c:pt idx="13">
                  <c:v>0.8587385853015379</c:v>
                </c:pt>
                <c:pt idx="14">
                  <c:v>0.77926464415892849</c:v>
                </c:pt>
                <c:pt idx="15">
                  <c:v>0.68380014878681705</c:v>
                </c:pt>
                <c:pt idx="16">
                  <c:v>0.57370622315288178</c:v>
                </c:pt>
                <c:pt idx="17">
                  <c:v>0.45018867508778548</c:v>
                </c:pt>
                <c:pt idx="18">
                  <c:v>0.31390253743044694</c:v>
                </c:pt>
                <c:pt idx="19">
                  <c:v>0.16448260965793526</c:v>
                </c:pt>
                <c:pt idx="20">
                  <c:v>-3.1974423109204508E-14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31584"/>
        <c:axId val="144133120"/>
      </c:scatterChart>
      <c:valAx>
        <c:axId val="144131584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3120"/>
        <c:crosses val="autoZero"/>
        <c:crossBetween val="midCat"/>
      </c:valAx>
      <c:valAx>
        <c:axId val="144133120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31584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66106433008239"/>
          <c:y val="0.94074301591028886"/>
          <c:w val="0.54414907085477981"/>
          <c:h val="5.925702061808747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Deck</a:t>
            </a:r>
            <a:r>
              <a:rPr lang="en-US" baseline="0"/>
              <a:t> </a:t>
            </a:r>
            <a:r>
              <a:rPr lang="en-US"/>
              <a:t>Coefficient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875005315057267E-2"/>
          <c:y val="8.4937775635188464E-2"/>
          <c:w val="0.91986762524249688"/>
          <c:h val="0.79004695841591233"/>
        </c:manualLayout>
      </c:layout>
      <c:scatterChart>
        <c:scatterStyle val="smoothMarker"/>
        <c:varyColors val="0"/>
        <c:ser>
          <c:idx val="0"/>
          <c:order val="0"/>
          <c:tx>
            <c:v>Opt1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'Mid Upr WL Opt1 Calcs'!$L$24:$L$44</c:f>
              <c:numCache>
                <c:formatCode>0.000</c:formatCode>
                <c:ptCount val="21"/>
                <c:pt idx="0">
                  <c:v>4.0014994080741573E-3</c:v>
                </c:pt>
                <c:pt idx="1">
                  <c:v>5.285673210914834E-2</c:v>
                </c:pt>
                <c:pt idx="2">
                  <c:v>0.1017119648102224</c:v>
                </c:pt>
                <c:pt idx="3">
                  <c:v>0.15056719751129649</c:v>
                </c:pt>
                <c:pt idx="4">
                  <c:v>0.19942243021237066</c:v>
                </c:pt>
                <c:pt idx="5">
                  <c:v>0.24827766291344472</c:v>
                </c:pt>
                <c:pt idx="6">
                  <c:v>0.29713289561451878</c:v>
                </c:pt>
                <c:pt idx="7">
                  <c:v>0.34598812831559289</c:v>
                </c:pt>
                <c:pt idx="8">
                  <c:v>0.39484336101666706</c:v>
                </c:pt>
                <c:pt idx="9">
                  <c:v>0.44369859371774123</c:v>
                </c:pt>
                <c:pt idx="10">
                  <c:v>0.49255382641881529</c:v>
                </c:pt>
                <c:pt idx="11">
                  <c:v>0.54140905911988935</c:v>
                </c:pt>
                <c:pt idx="12">
                  <c:v>0.5902642918209634</c:v>
                </c:pt>
                <c:pt idx="13">
                  <c:v>0.63911952452203757</c:v>
                </c:pt>
                <c:pt idx="14">
                  <c:v>0.68797475722311163</c:v>
                </c:pt>
                <c:pt idx="15">
                  <c:v>0.73682998992418569</c:v>
                </c:pt>
                <c:pt idx="16">
                  <c:v>0.78568522262525997</c:v>
                </c:pt>
                <c:pt idx="17">
                  <c:v>0.83454045532633403</c:v>
                </c:pt>
                <c:pt idx="18">
                  <c:v>0.88339568802740809</c:v>
                </c:pt>
                <c:pt idx="19">
                  <c:v>0.93225092072848215</c:v>
                </c:pt>
                <c:pt idx="20">
                  <c:v>0.98110615342955632</c:v>
                </c:pt>
              </c:numCache>
            </c:numRef>
          </c:xVal>
          <c:yVal>
            <c:numRef>
              <c:f>'Mid Upr WL Opt1 Calcs'!$M$24:$M$44</c:f>
              <c:numCache>
                <c:formatCode>0.00</c:formatCode>
                <c:ptCount val="21"/>
                <c:pt idx="0">
                  <c:v>0.62907250000000003</c:v>
                </c:pt>
                <c:pt idx="1">
                  <c:v>0.71243199802632484</c:v>
                </c:pt>
                <c:pt idx="2">
                  <c:v>0.77340658107702864</c:v>
                </c:pt>
                <c:pt idx="3">
                  <c:v>0.82048402932133802</c:v>
                </c:pt>
                <c:pt idx="4">
                  <c:v>0.85949754703530679</c:v>
                </c:pt>
                <c:pt idx="5">
                  <c:v>0.89395743327998545</c:v>
                </c:pt>
                <c:pt idx="6">
                  <c:v>0.92538275257959235</c:v>
                </c:pt>
                <c:pt idx="7">
                  <c:v>0.95363300559968089</c:v>
                </c:pt>
                <c:pt idx="8">
                  <c:v>0.97723979982531295</c:v>
                </c:pt>
                <c:pt idx="9">
                  <c:v>0.99373852023922604</c:v>
                </c:pt>
                <c:pt idx="10">
                  <c:v>1.0000000000000031</c:v>
                </c:pt>
                <c:pt idx="11">
                  <c:v>0.99256219112024546</c:v>
                </c:pt>
                <c:pt idx="12">
                  <c:v>0.9679618351447381</c:v>
                </c:pt>
                <c:pt idx="13">
                  <c:v>0.92306613382862446</c:v>
                </c:pt>
                <c:pt idx="14">
                  <c:v>0.85540441981557058</c:v>
                </c:pt>
                <c:pt idx="15">
                  <c:v>0.76349982731594235</c:v>
                </c:pt>
                <c:pt idx="16">
                  <c:v>0.64720096278496708</c:v>
                </c:pt>
                <c:pt idx="17">
                  <c:v>0.50801357560091187</c:v>
                </c:pt>
                <c:pt idx="18">
                  <c:v>0.34943222874324409</c:v>
                </c:pt>
                <c:pt idx="19">
                  <c:v>0.17727196947080603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Opt2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'Mid Upr WL Opt2 Calcs'!$L$21:$L$41</c:f>
              <c:numCache>
                <c:formatCode>0.000</c:formatCode>
                <c:ptCount val="21"/>
                <c:pt idx="0">
                  <c:v>4.0014994080741573E-3</c:v>
                </c:pt>
                <c:pt idx="1">
                  <c:v>5.285673210914834E-2</c:v>
                </c:pt>
                <c:pt idx="2">
                  <c:v>0.1017119648102224</c:v>
                </c:pt>
                <c:pt idx="3">
                  <c:v>0.15056719751129649</c:v>
                </c:pt>
                <c:pt idx="4">
                  <c:v>0.19942243021237066</c:v>
                </c:pt>
                <c:pt idx="5">
                  <c:v>0.24827766291344472</c:v>
                </c:pt>
                <c:pt idx="6">
                  <c:v>0.29713289561451878</c:v>
                </c:pt>
                <c:pt idx="7">
                  <c:v>0.34598812831559289</c:v>
                </c:pt>
                <c:pt idx="8">
                  <c:v>0.39484336101666706</c:v>
                </c:pt>
                <c:pt idx="9">
                  <c:v>0.44369859371774123</c:v>
                </c:pt>
                <c:pt idx="10">
                  <c:v>0.49255382641881529</c:v>
                </c:pt>
                <c:pt idx="11">
                  <c:v>0.54140905911988935</c:v>
                </c:pt>
                <c:pt idx="12">
                  <c:v>0.5902642918209634</c:v>
                </c:pt>
                <c:pt idx="13">
                  <c:v>0.63911952452203757</c:v>
                </c:pt>
                <c:pt idx="14">
                  <c:v>0.68797475722311163</c:v>
                </c:pt>
                <c:pt idx="15">
                  <c:v>0.73682998992418569</c:v>
                </c:pt>
                <c:pt idx="16">
                  <c:v>0.78568522262525997</c:v>
                </c:pt>
                <c:pt idx="17">
                  <c:v>0.83454045532633403</c:v>
                </c:pt>
                <c:pt idx="18">
                  <c:v>0.88339568802740809</c:v>
                </c:pt>
                <c:pt idx="19">
                  <c:v>0.93225092072848215</c:v>
                </c:pt>
                <c:pt idx="20">
                  <c:v>0.98110615342955632</c:v>
                </c:pt>
              </c:numCache>
            </c:numRef>
          </c:xVal>
          <c:yVal>
            <c:numRef>
              <c:f>'Mid Upr WL Opt2 Calcs'!$M$21:$M$41</c:f>
              <c:numCache>
                <c:formatCode>General</c:formatCode>
                <c:ptCount val="21"/>
                <c:pt idx="0">
                  <c:v>0.62907250000000003</c:v>
                </c:pt>
                <c:pt idx="1">
                  <c:v>0.71161313340194321</c:v>
                </c:pt>
                <c:pt idx="2">
                  <c:v>0.77272705454462598</c:v>
                </c:pt>
                <c:pt idx="3">
                  <c:v>0.82026988974442283</c:v>
                </c:pt>
                <c:pt idx="4">
                  <c:v>0.85971793401868424</c:v>
                </c:pt>
                <c:pt idx="5">
                  <c:v>0.89442449418166714</c:v>
                </c:pt>
                <c:pt idx="6">
                  <c:v>0.92588627561809866</c:v>
                </c:pt>
                <c:pt idx="7">
                  <c:v>0.95401981273437098</c:v>
                </c:pt>
                <c:pt idx="8">
                  <c:v>0.97744794308736638</c:v>
                </c:pt>
                <c:pt idx="9">
                  <c:v>0.99379632519091843</c:v>
                </c:pt>
                <c:pt idx="10">
                  <c:v>0.99999999999990041</c:v>
                </c:pt>
                <c:pt idx="11">
                  <c:v>0.99261999607194695</c:v>
                </c:pt>
                <c:pt idx="12">
                  <c:v>0.9681699784068083</c:v>
                </c:pt>
                <c:pt idx="13">
                  <c:v>0.92345294096334074</c:v>
                </c:pt>
                <c:pt idx="14">
                  <c:v>0.85590794285411231</c:v>
                </c:pt>
                <c:pt idx="15">
                  <c:v>0.76396688821766745</c:v>
                </c:pt>
                <c:pt idx="16">
                  <c:v>0.64742134976839649</c:v>
                </c:pt>
                <c:pt idx="17">
                  <c:v>0.50779943602405653</c:v>
                </c:pt>
                <c:pt idx="18">
                  <c:v>0.34875270221090487</c:v>
                </c:pt>
                <c:pt idx="19">
                  <c:v>0.17645310484649235</c:v>
                </c:pt>
                <c:pt idx="20">
                  <c:v>6.0396132539608516E-14</c:v>
                </c:pt>
              </c:numCache>
            </c:numRef>
          </c:yVal>
          <c:smooth val="1"/>
        </c:ser>
        <c:ser>
          <c:idx val="2"/>
          <c:order val="2"/>
          <c:tx>
            <c:v>Dwl</c:v>
          </c:tx>
          <c:xVal>
            <c:numRef>
              <c:f>'Cxx Selected'!$B$27:$B$47</c:f>
              <c:numCache>
                <c:formatCode>0.00</c:formatCode>
                <c:ptCount val="21"/>
                <c:pt idx="0">
                  <c:v>8.0029988161484222E-3</c:v>
                </c:pt>
                <c:pt idx="1">
                  <c:v>5.5713464218296628E-2</c:v>
                </c:pt>
                <c:pt idx="2">
                  <c:v>0.10342392962044483</c:v>
                </c:pt>
                <c:pt idx="3">
                  <c:v>0.15113439502259302</c:v>
                </c:pt>
                <c:pt idx="4">
                  <c:v>0.19884486042474125</c:v>
                </c:pt>
                <c:pt idx="5">
                  <c:v>0.24655532582688947</c:v>
                </c:pt>
                <c:pt idx="6">
                  <c:v>0.29426579122903762</c:v>
                </c:pt>
                <c:pt idx="7">
                  <c:v>0.34197625663118586</c:v>
                </c:pt>
                <c:pt idx="8">
                  <c:v>0.38968672203333404</c:v>
                </c:pt>
                <c:pt idx="9">
                  <c:v>0.43739718743548223</c:v>
                </c:pt>
                <c:pt idx="10">
                  <c:v>0.48510765283763041</c:v>
                </c:pt>
                <c:pt idx="11">
                  <c:v>0.53281811823977865</c:v>
                </c:pt>
                <c:pt idx="12">
                  <c:v>0.58052858364192683</c:v>
                </c:pt>
                <c:pt idx="13">
                  <c:v>0.62823904904407513</c:v>
                </c:pt>
                <c:pt idx="14">
                  <c:v>0.67594951444622331</c:v>
                </c:pt>
                <c:pt idx="15">
                  <c:v>0.72365997984837138</c:v>
                </c:pt>
                <c:pt idx="16">
                  <c:v>0.77137044525051968</c:v>
                </c:pt>
                <c:pt idx="17">
                  <c:v>0.81908091065266786</c:v>
                </c:pt>
                <c:pt idx="18">
                  <c:v>0.86679137605481604</c:v>
                </c:pt>
                <c:pt idx="19">
                  <c:v>0.91450184145696423</c:v>
                </c:pt>
                <c:pt idx="20">
                  <c:v>0.96221230685911252</c:v>
                </c:pt>
              </c:numCache>
            </c:numRef>
          </c:xVal>
          <c:yVal>
            <c:numRef>
              <c:f>'Cxx Selected'!$H$27:$H$47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0.66925327285799885</c:v>
                </c:pt>
                <c:pt idx="2">
                  <c:v>0.7277972723334829</c:v>
                </c:pt>
                <c:pt idx="3">
                  <c:v>0.78484025589652306</c:v>
                </c:pt>
                <c:pt idx="4">
                  <c:v>0.83969717409136657</c:v>
                </c:pt>
                <c:pt idx="5">
                  <c:v>0.89050120538174493</c:v>
                </c:pt>
                <c:pt idx="6">
                  <c:v>0.93469629148079625</c:v>
                </c:pt>
                <c:pt idx="7">
                  <c:v>0.96945567316559722</c:v>
                </c:pt>
                <c:pt idx="8">
                  <c:v>0.99202642657631113</c:v>
                </c:pt>
                <c:pt idx="9">
                  <c:v>0.99999999999994804</c:v>
                </c:pt>
                <c:pt idx="10">
                  <c:v>0.9915087511387356</c:v>
                </c:pt>
                <c:pt idx="11">
                  <c:v>0.96534848486310565</c:v>
                </c:pt>
                <c:pt idx="12">
                  <c:v>0.92102699144929068</c:v>
                </c:pt>
                <c:pt idx="13">
                  <c:v>0.8587385853015379</c:v>
                </c:pt>
                <c:pt idx="14">
                  <c:v>0.77926464415892849</c:v>
                </c:pt>
                <c:pt idx="15">
                  <c:v>0.68380014878681705</c:v>
                </c:pt>
                <c:pt idx="16">
                  <c:v>0.57370622315288178</c:v>
                </c:pt>
                <c:pt idx="17">
                  <c:v>0.45018867508778548</c:v>
                </c:pt>
                <c:pt idx="18">
                  <c:v>0.31390253743044694</c:v>
                </c:pt>
                <c:pt idx="19">
                  <c:v>0.16448260965793526</c:v>
                </c:pt>
                <c:pt idx="20">
                  <c:v>-3.1974423109204508E-14</c:v>
                </c:pt>
              </c:numCache>
            </c:numRef>
          </c:yVal>
          <c:smooth val="1"/>
        </c:ser>
        <c:ser>
          <c:idx val="3"/>
          <c:order val="3"/>
          <c:tx>
            <c:v>CWD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Selected'!$H$52:$H$72</c:f>
              <c:numCache>
                <c:formatCode>0.0000</c:formatCode>
                <c:ptCount val="21"/>
                <c:pt idx="0">
                  <c:v>0.60814500000000005</c:v>
                </c:pt>
                <c:pt idx="1">
                  <c:v>0.68976171921482166</c:v>
                </c:pt>
                <c:pt idx="2">
                  <c:v>0.7684925722926359</c:v>
                </c:pt>
                <c:pt idx="3">
                  <c:v>0.8386870734197055</c:v>
                </c:pt>
                <c:pt idx="4">
                  <c:v>0.89725938056030208</c:v>
                </c:pt>
                <c:pt idx="5">
                  <c:v>0.94299851733482409</c:v>
                </c:pt>
                <c:pt idx="6">
                  <c:v>0.97595666906991263</c:v>
                </c:pt>
                <c:pt idx="7">
                  <c:v>0.99691555302056334</c:v>
                </c:pt>
                <c:pt idx="8">
                  <c:v>1.0069308627642357</c:v>
                </c:pt>
                <c:pt idx="9">
                  <c:v>1.0069547867669562</c:v>
                </c:pt>
                <c:pt idx="10">
                  <c:v>0.99753660112142484</c:v>
                </c:pt>
                <c:pt idx="11">
                  <c:v>0.97860133645710967</c:v>
                </c:pt>
                <c:pt idx="12">
                  <c:v>0.94930651902234553</c:v>
                </c:pt>
                <c:pt idx="13">
                  <c:v>0.90797698593842491</c:v>
                </c:pt>
                <c:pt idx="14">
                  <c:v>0.85211777462568716</c:v>
                </c:pt>
                <c:pt idx="15">
                  <c:v>0.77850508640160254</c:v>
                </c:pt>
                <c:pt idx="16">
                  <c:v>0.68335532425086365</c:v>
                </c:pt>
                <c:pt idx="17">
                  <c:v>0.56257220476744862</c:v>
                </c:pt>
                <c:pt idx="18">
                  <c:v>0.41207194426871263</c:v>
                </c:pt>
                <c:pt idx="19">
                  <c:v>0.22818651908145426</c:v>
                </c:pt>
                <c:pt idx="20">
                  <c:v>8.1449999999776423E-3</c:v>
                </c:pt>
              </c:numCache>
            </c:numRef>
          </c:yVal>
          <c:smooth val="1"/>
        </c:ser>
        <c:ser>
          <c:idx val="4"/>
          <c:order val="4"/>
          <c:tx>
            <c:v>Opt3 - Ref Data</c:v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CMUpr!$F$52:$F$72</c:f>
              <c:numCache>
                <c:formatCode>0.00</c:formatCode>
                <c:ptCount val="21"/>
                <c:pt idx="0">
                  <c:v>1</c:v>
                </c:pt>
                <c:pt idx="1">
                  <c:v>0.95</c:v>
                </c:pt>
                <c:pt idx="2">
                  <c:v>0.9</c:v>
                </c:pt>
                <c:pt idx="3">
                  <c:v>0.85</c:v>
                </c:pt>
                <c:pt idx="4">
                  <c:v>0.8</c:v>
                </c:pt>
                <c:pt idx="5">
                  <c:v>0.75</c:v>
                </c:pt>
                <c:pt idx="6">
                  <c:v>0.7</c:v>
                </c:pt>
                <c:pt idx="7">
                  <c:v>0.65</c:v>
                </c:pt>
                <c:pt idx="8">
                  <c:v>0.60000000000000009</c:v>
                </c:pt>
                <c:pt idx="9">
                  <c:v>0.55000000000000004</c:v>
                </c:pt>
                <c:pt idx="10">
                  <c:v>0.5</c:v>
                </c:pt>
                <c:pt idx="11">
                  <c:v>0.45000000000000007</c:v>
                </c:pt>
                <c:pt idx="12">
                  <c:v>0.4</c:v>
                </c:pt>
                <c:pt idx="13">
                  <c:v>0.35</c:v>
                </c:pt>
                <c:pt idx="14">
                  <c:v>0.29999999999999993</c:v>
                </c:pt>
                <c:pt idx="15">
                  <c:v>0.24999999999999989</c:v>
                </c:pt>
                <c:pt idx="16">
                  <c:v>0.19999999999999984</c:v>
                </c:pt>
                <c:pt idx="17">
                  <c:v>0.1499999999999998</c:v>
                </c:pt>
                <c:pt idx="18">
                  <c:v>9.9999999999999756E-2</c:v>
                </c:pt>
                <c:pt idx="19">
                  <c:v>4.9999999999999711E-2</c:v>
                </c:pt>
                <c:pt idx="20">
                  <c:v>0</c:v>
                </c:pt>
              </c:numCache>
            </c:numRef>
          </c:xVal>
          <c:yVal>
            <c:numRef>
              <c:f>CMUpr!$G$52:$G$72</c:f>
              <c:numCache>
                <c:formatCode>0.00</c:formatCode>
                <c:ptCount val="21"/>
                <c:pt idx="0">
                  <c:v>0</c:v>
                </c:pt>
                <c:pt idx="1">
                  <c:v>0.29653314100730277</c:v>
                </c:pt>
                <c:pt idx="2">
                  <c:v>0.4278573881952214</c:v>
                </c:pt>
                <c:pt idx="3">
                  <c:v>0.56491266525654549</c:v>
                </c:pt>
                <c:pt idx="4">
                  <c:v>0.67026423664267076</c:v>
                </c:pt>
                <c:pt idx="5">
                  <c:v>0.77505465575891785</c:v>
                </c:pt>
                <c:pt idx="6">
                  <c:v>0.84743395972168767</c:v>
                </c:pt>
                <c:pt idx="7">
                  <c:v>0.90938260011366978</c:v>
                </c:pt>
                <c:pt idx="8">
                  <c:v>0.94701098497429037</c:v>
                </c:pt>
                <c:pt idx="9">
                  <c:v>0.97652316833620778</c:v>
                </c:pt>
                <c:pt idx="10">
                  <c:v>1</c:v>
                </c:pt>
                <c:pt idx="11">
                  <c:v>0.99505528258707721</c:v>
                </c:pt>
                <c:pt idx="12">
                  <c:v>0.99037343336497308</c:v>
                </c:pt>
                <c:pt idx="13">
                  <c:v>0.98541228732875796</c:v>
                </c:pt>
                <c:pt idx="14">
                  <c:v>0.95485952688520637</c:v>
                </c:pt>
                <c:pt idx="15">
                  <c:v>0.91492119416112339</c:v>
                </c:pt>
                <c:pt idx="16">
                  <c:v>0.86802596484750272</c:v>
                </c:pt>
                <c:pt idx="17">
                  <c:v>0.80039418356022063</c:v>
                </c:pt>
                <c:pt idx="18">
                  <c:v>0.71931592806741851</c:v>
                </c:pt>
                <c:pt idx="19">
                  <c:v>0.64912987330653826</c:v>
                </c:pt>
                <c:pt idx="20">
                  <c:v>0.54983684772420549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64288"/>
        <c:axId val="144576896"/>
      </c:scatterChart>
      <c:valAx>
        <c:axId val="144764288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76896"/>
        <c:crosses val="autoZero"/>
        <c:crossBetween val="midCat"/>
      </c:valAx>
      <c:valAx>
        <c:axId val="144576896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764288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3615237076598"/>
          <c:y val="0.93956101424386662"/>
          <c:w val="0.55315761700214006"/>
          <c:h val="6.043901260808656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CMUpr!$M$53:$O$53</c:f>
              <c:numCache>
                <c:formatCode>0.00</c:formatCode>
                <c:ptCount val="3"/>
                <c:pt idx="0">
                  <c:v>4.5581699660217403</c:v>
                </c:pt>
                <c:pt idx="1">
                  <c:v>2.2790849830108701</c:v>
                </c:pt>
                <c:pt idx="2">
                  <c:v>0</c:v>
                </c:pt>
              </c:numCache>
            </c:numRef>
          </c:xVal>
          <c:yVal>
            <c:numRef>
              <c:f>CMUpr!$P$53:$U$53</c:f>
              <c:numCache>
                <c:formatCode>General</c:formatCode>
                <c:ptCount val="6"/>
                <c:pt idx="0">
                  <c:v>4.8968849193424031</c:v>
                </c:pt>
                <c:pt idx="1">
                  <c:v>2.1052033272256039</c:v>
                </c:pt>
                <c:pt idx="2">
                  <c:v>4.7512875356572248</c:v>
                </c:pt>
                <c:pt idx="3">
                  <c:v>-0.48521907330210778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CMUpr!$M$54:$O$54</c:f>
              <c:numCache>
                <c:formatCode>0.00</c:formatCode>
                <c:ptCount val="3"/>
                <c:pt idx="0">
                  <c:v>4.5065700098925907</c:v>
                </c:pt>
                <c:pt idx="1">
                  <c:v>2.2532850049462954</c:v>
                </c:pt>
                <c:pt idx="2">
                  <c:v>0</c:v>
                </c:pt>
              </c:numCache>
            </c:numRef>
          </c:xVal>
          <c:yVal>
            <c:numRef>
              <c:f>CMUpr!$P$54:$R$54</c:f>
              <c:numCache>
                <c:formatCode>General</c:formatCode>
                <c:ptCount val="3"/>
                <c:pt idx="0">
                  <c:v>5.4558256613171521</c:v>
                </c:pt>
                <c:pt idx="1">
                  <c:v>3.0375248923170259</c:v>
                </c:pt>
                <c:pt idx="2">
                  <c:v>5.1669140051513978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CMUpr!$M$55:$O$55</c:f>
              <c:numCache>
                <c:formatCode>0.00</c:formatCode>
                <c:ptCount val="3"/>
                <c:pt idx="0">
                  <c:v>4.454969725804327</c:v>
                </c:pt>
                <c:pt idx="1">
                  <c:v>2.2274848629021635</c:v>
                </c:pt>
                <c:pt idx="2">
                  <c:v>0</c:v>
                </c:pt>
              </c:numCache>
            </c:numRef>
          </c:xVal>
          <c:yVal>
            <c:numRef>
              <c:f>CMUpr!$P$55:$U$55</c:f>
              <c:numCache>
                <c:formatCode>General</c:formatCode>
                <c:ptCount val="6"/>
                <c:pt idx="0">
                  <c:v>5.9541635429571977</c:v>
                </c:pt>
                <c:pt idx="1">
                  <c:v>4.010533252540144</c:v>
                </c:pt>
                <c:pt idx="2">
                  <c:v>5.5718841827978496</c:v>
                </c:pt>
                <c:pt idx="3">
                  <c:v>-1.6615833198776908E-2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CMUpr!$M$56:$O$56</c:f>
              <c:numCache>
                <c:formatCode>0.00</c:formatCode>
                <c:ptCount val="3"/>
                <c:pt idx="0">
                  <c:v>4.4033711912733997</c:v>
                </c:pt>
                <c:pt idx="1">
                  <c:v>2.2016855956366999</c:v>
                </c:pt>
                <c:pt idx="2">
                  <c:v>0</c:v>
                </c:pt>
              </c:numCache>
            </c:numRef>
          </c:xVal>
          <c:yVal>
            <c:numRef>
              <c:f>CMUpr!$P$56:$U$56</c:f>
              <c:numCache>
                <c:formatCode>General</c:formatCode>
                <c:ptCount val="6"/>
                <c:pt idx="0">
                  <c:v>6.3699909795020631</c:v>
                </c:pt>
                <c:pt idx="1">
                  <c:v>4.7584647581287713</c:v>
                </c:pt>
                <c:pt idx="2">
                  <c:v>5.9613346378560355</c:v>
                </c:pt>
                <c:pt idx="3">
                  <c:v>9.2938688391294377E-2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CMUpr!$M$57:$O$57</c:f>
              <c:numCache>
                <c:formatCode>0.00</c:formatCode>
                <c:ptCount val="3"/>
                <c:pt idx="0">
                  <c:v>4.3517640780203317</c:v>
                </c:pt>
                <c:pt idx="1">
                  <c:v>2.1758820390101659</c:v>
                </c:pt>
                <c:pt idx="2">
                  <c:v>0</c:v>
                </c:pt>
              </c:numCache>
            </c:numRef>
          </c:xVal>
          <c:yVal>
            <c:numRef>
              <c:f>CMUpr!$P$57:$U$57</c:f>
              <c:numCache>
                <c:formatCode>General</c:formatCode>
                <c:ptCount val="6"/>
                <c:pt idx="0">
                  <c:v>6.6947107817982232</c:v>
                </c:pt>
                <c:pt idx="1">
                  <c:v>5.5024124269643977</c:v>
                </c:pt>
                <c:pt idx="2">
                  <c:v>6.3220120830335524</c:v>
                </c:pt>
                <c:pt idx="3">
                  <c:v>2.4495940132243099E-2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CMUpr!$M$58:$O$58</c:f>
              <c:numCache>
                <c:formatCode>0.00</c:formatCode>
                <c:ptCount val="3"/>
                <c:pt idx="0">
                  <c:v>4.3001968315910943</c:v>
                </c:pt>
                <c:pt idx="1">
                  <c:v>2.1500984157955472</c:v>
                </c:pt>
                <c:pt idx="2">
                  <c:v>0</c:v>
                </c:pt>
              </c:numCache>
            </c:numRef>
          </c:xVal>
          <c:yVal>
            <c:numRef>
              <c:f>CMUpr!$P$58:$U$58</c:f>
              <c:numCache>
                <c:formatCode>General</c:formatCode>
                <c:ptCount val="6"/>
                <c:pt idx="0">
                  <c:v>6.9286934336401842</c:v>
                </c:pt>
                <c:pt idx="1">
                  <c:v>6.0162610679867639</c:v>
                </c:pt>
                <c:pt idx="2">
                  <c:v>6.6357700730737044</c:v>
                </c:pt>
                <c:pt idx="3">
                  <c:v>3.3252211494855466E-2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CMUpr!$M$59:$O$59</c:f>
              <c:numCache>
                <c:formatCode>0.00</c:formatCode>
                <c:ptCount val="3"/>
                <c:pt idx="0">
                  <c:v>4.2484511240338447</c:v>
                </c:pt>
                <c:pt idx="1">
                  <c:v>2.1242255620169224</c:v>
                </c:pt>
                <c:pt idx="2">
                  <c:v>0</c:v>
                </c:pt>
              </c:numCache>
            </c:numRef>
          </c:xVal>
          <c:yVal>
            <c:numRef>
              <c:f>CMUpr!$P$59:$U$59</c:f>
              <c:numCache>
                <c:formatCode>General</c:formatCode>
                <c:ptCount val="6"/>
                <c:pt idx="0">
                  <c:v>7.077488647820843</c:v>
                </c:pt>
                <c:pt idx="1">
                  <c:v>6.4560583986571034</c:v>
                </c:pt>
                <c:pt idx="2">
                  <c:v>6.8825403521952069</c:v>
                </c:pt>
                <c:pt idx="3">
                  <c:v>-9.9789980589317651E-3</c:v>
                </c:pt>
              </c:numCache>
            </c:numRef>
          </c:yVal>
          <c:smooth val="1"/>
        </c:ser>
        <c:ser>
          <c:idx val="7"/>
          <c:order val="7"/>
          <c:marker>
            <c:symbol val="none"/>
          </c:marker>
          <c:xVal>
            <c:numRef>
              <c:f>CMUpr!$M$60:$O$60</c:f>
              <c:numCache>
                <c:formatCode>0.00</c:formatCode>
                <c:ptCount val="3"/>
                <c:pt idx="0">
                  <c:v>4.1974822319611711</c:v>
                </c:pt>
                <c:pt idx="1">
                  <c:v>2.0987411159805855</c:v>
                </c:pt>
                <c:pt idx="2">
                  <c:v>0</c:v>
                </c:pt>
              </c:numCache>
            </c:numRef>
          </c:xVal>
          <c:yVal>
            <c:numRef>
              <c:f>CMUpr!$P$60:$U$60</c:f>
              <c:numCache>
                <c:formatCode>General</c:formatCode>
                <c:ptCount val="6"/>
                <c:pt idx="0">
                  <c:v>7.1485912008911416</c:v>
                </c:pt>
                <c:pt idx="1">
                  <c:v>6.7231968397015507</c:v>
                </c:pt>
                <c:pt idx="2">
                  <c:v>7.0427788503840265</c:v>
                </c:pt>
                <c:pt idx="3">
                  <c:v>1.6296883037455245E-2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CMUpr!$M$61:$O$61</c:f>
              <c:numCache>
                <c:formatCode>0.00</c:formatCode>
                <c:ptCount val="3"/>
                <c:pt idx="0">
                  <c:v>4.1432057183766924</c:v>
                </c:pt>
                <c:pt idx="1">
                  <c:v>2.0716028591883462</c:v>
                </c:pt>
                <c:pt idx="2">
                  <c:v>0</c:v>
                </c:pt>
              </c:numCache>
            </c:numRef>
          </c:xVal>
          <c:yVal>
            <c:numRef>
              <c:f>CMUpr!$P$61:$U$61</c:f>
              <c:numCache>
                <c:formatCode>General</c:formatCode>
                <c:ptCount val="6"/>
                <c:pt idx="0">
                  <c:v>7.1487610466289793</c:v>
                </c:pt>
                <c:pt idx="1">
                  <c:v>6.9327152307864468</c:v>
                </c:pt>
                <c:pt idx="2">
                  <c:v>7.0993863285373875</c:v>
                </c:pt>
                <c:pt idx="3">
                  <c:v>1.4753718345933642E-2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CMUpr!$M$62:$O$62</c:f>
              <c:numCache>
                <c:formatCode>0.00</c:formatCode>
                <c:ptCount val="3"/>
                <c:pt idx="0">
                  <c:v>4.104367193698776</c:v>
                </c:pt>
                <c:pt idx="1">
                  <c:v>2.052183596849388</c:v>
                </c:pt>
                <c:pt idx="2">
                  <c:v>0</c:v>
                </c:pt>
              </c:numCache>
            </c:numRef>
          </c:xVal>
          <c:yVal>
            <c:numRef>
              <c:f>CMUpr!$P$62:$T$62</c:f>
              <c:numCache>
                <c:formatCode>General</c:formatCode>
                <c:ptCount val="5"/>
                <c:pt idx="0">
                  <c:v>7.0818977082174639</c:v>
                </c:pt>
                <c:pt idx="1">
                  <c:v>7.0993863285377552</c:v>
                </c:pt>
                <c:pt idx="2">
                  <c:v>7.0391036724598841</c:v>
                </c:pt>
                <c:pt idx="3">
                  <c:v>-1.7488620320291304E-2</c:v>
                </c:pt>
              </c:numCache>
            </c:numRef>
          </c:yVal>
          <c:smooth val="1"/>
        </c:ser>
        <c:ser>
          <c:idx val="10"/>
          <c:order val="10"/>
          <c:marker>
            <c:symbol val="none"/>
          </c:marker>
          <c:xVal>
            <c:numRef>
              <c:f>CMUpr!$M$63:$O$63</c:f>
              <c:numCache>
                <c:formatCode>0.00</c:formatCode>
                <c:ptCount val="3"/>
                <c:pt idx="0">
                  <c:v>4.1146183232371714</c:v>
                </c:pt>
                <c:pt idx="1">
                  <c:v>2.0573091616185857</c:v>
                </c:pt>
                <c:pt idx="2">
                  <c:v>0</c:v>
                </c:pt>
              </c:numCache>
            </c:numRef>
          </c:xVal>
          <c:yVal>
            <c:numRef>
              <c:f>CMUpr!$P$63:$U$63</c:f>
              <c:numCache>
                <c:formatCode>General</c:formatCode>
                <c:ptCount val="6"/>
                <c:pt idx="0">
                  <c:v>6.9474689491323804</c:v>
                </c:pt>
                <c:pt idx="1">
                  <c:v>7.0642818693379681</c:v>
                </c:pt>
                <c:pt idx="2">
                  <c:v>6.8533818357117688</c:v>
                </c:pt>
                <c:pt idx="3">
                  <c:v>8.4479177291011176E-2</c:v>
                </c:pt>
              </c:numCache>
            </c:numRef>
          </c:yVal>
          <c:smooth val="1"/>
        </c:ser>
        <c:ser>
          <c:idx val="11"/>
          <c:order val="11"/>
          <c:marker>
            <c:symbol val="none"/>
          </c:marker>
          <c:xVal>
            <c:numRef>
              <c:f>CMUpr!$M$64:$O$64</c:f>
              <c:numCache>
                <c:formatCode>0.00</c:formatCode>
                <c:ptCount val="3"/>
                <c:pt idx="0">
                  <c:v>4.1573039702269075</c:v>
                </c:pt>
                <c:pt idx="1">
                  <c:v>2.0786519851134537</c:v>
                </c:pt>
                <c:pt idx="2">
                  <c:v>0</c:v>
                </c:pt>
              </c:numCache>
            </c:numRef>
          </c:xVal>
          <c:yVal>
            <c:numRef>
              <c:f>CMUpr!$P$64:$U$64</c:f>
              <c:numCache>
                <c:formatCode>General</c:formatCode>
                <c:ptCount val="6"/>
                <c:pt idx="0">
                  <c:v>6.7394937227390059</c:v>
                </c:pt>
                <c:pt idx="1">
                  <c:v>7.0310436129782872</c:v>
                </c:pt>
                <c:pt idx="2">
                  <c:v>6.538726431309354</c:v>
                </c:pt>
                <c:pt idx="3">
                  <c:v>0.11754758791285447</c:v>
                </c:pt>
              </c:numCache>
            </c:numRef>
          </c:yVal>
          <c:smooth val="1"/>
        </c:ser>
        <c:ser>
          <c:idx val="12"/>
          <c:order val="12"/>
          <c:marker>
            <c:symbol val="none"/>
          </c:marker>
          <c:xVal>
            <c:numRef>
              <c:f>CMUpr!$M$65:$O$65</c:f>
              <c:numCache>
                <c:formatCode>0.00</c:formatCode>
                <c:ptCount val="3"/>
                <c:pt idx="0">
                  <c:v>4.2636696005396386</c:v>
                </c:pt>
                <c:pt idx="1">
                  <c:v>2.1318348002698193</c:v>
                </c:pt>
                <c:pt idx="2">
                  <c:v>0</c:v>
                </c:pt>
              </c:numCache>
            </c:numRef>
          </c:xVal>
          <c:yVal>
            <c:numRef>
              <c:f>CMUpr!$P$65:$U$65</c:f>
              <c:numCache>
                <c:formatCode>General</c:formatCode>
                <c:ptCount val="6"/>
                <c:pt idx="0">
                  <c:v>6.4460794005981716</c:v>
                </c:pt>
                <c:pt idx="1">
                  <c:v>6.9958225206349027</c:v>
                </c:pt>
                <c:pt idx="2">
                  <c:v>6.0965169722775912</c:v>
                </c:pt>
                <c:pt idx="3">
                  <c:v>8.166612718594024E-2</c:v>
                </c:pt>
              </c:numCache>
            </c:numRef>
          </c:yVal>
          <c:smooth val="1"/>
        </c:ser>
        <c:ser>
          <c:idx val="13"/>
          <c:order val="13"/>
          <c:marker>
            <c:symbol val="none"/>
          </c:marker>
          <c:xVal>
            <c:numRef>
              <c:f>CMUpr!$M$66:$O$66</c:f>
              <c:numCache>
                <c:formatCode>0.00</c:formatCode>
                <c:ptCount val="3"/>
                <c:pt idx="0">
                  <c:v>4.4285131999976315</c:v>
                </c:pt>
                <c:pt idx="1">
                  <c:v>2.2142565999988157</c:v>
                </c:pt>
                <c:pt idx="2">
                  <c:v>0</c:v>
                </c:pt>
              </c:numCache>
            </c:numRef>
          </c:xVal>
          <c:yVal>
            <c:numRef>
              <c:f>CMUpr!$P$66:$U$66</c:f>
              <c:numCache>
                <c:formatCode>General</c:formatCode>
                <c:ptCount val="6"/>
                <c:pt idx="0">
                  <c:v>6.0495132794816193</c:v>
                </c:pt>
                <c:pt idx="1">
                  <c:v>6.7789166708428628</c:v>
                </c:pt>
                <c:pt idx="2">
                  <c:v>5.5323007610547359</c:v>
                </c:pt>
                <c:pt idx="3">
                  <c:v>0.14977676279732144</c:v>
                </c:pt>
              </c:numCache>
            </c:numRef>
          </c:yVal>
          <c:smooth val="1"/>
        </c:ser>
        <c:ser>
          <c:idx val="14"/>
          <c:order val="14"/>
          <c:marker>
            <c:symbol val="none"/>
          </c:marker>
          <c:xVal>
            <c:numRef>
              <c:f>CMUpr!$M$67:$O$67</c:f>
              <c:numCache>
                <c:formatCode>0.00</c:formatCode>
                <c:ptCount val="3"/>
                <c:pt idx="0">
                  <c:v>4.6531549793291633</c:v>
                </c:pt>
                <c:pt idx="1">
                  <c:v>2.3265774896645817</c:v>
                </c:pt>
                <c:pt idx="2">
                  <c:v>0</c:v>
                </c:pt>
              </c:numCache>
            </c:numRef>
          </c:xVal>
          <c:yVal>
            <c:numRef>
              <c:f>CMUpr!$P$67:$U$67</c:f>
              <c:numCache>
                <c:formatCode>General</c:formatCode>
                <c:ptCount val="6"/>
                <c:pt idx="0">
                  <c:v>5.5269083670966408</c:v>
                </c:pt>
                <c:pt idx="1">
                  <c:v>6.4953790175169166</c:v>
                </c:pt>
                <c:pt idx="2">
                  <c:v>4.8545614277492115</c:v>
                </c:pt>
                <c:pt idx="3">
                  <c:v>0.19933176428130661</c:v>
                </c:pt>
              </c:numCache>
            </c:numRef>
          </c:yVal>
          <c:smooth val="1"/>
        </c:ser>
        <c:ser>
          <c:idx val="15"/>
          <c:order val="15"/>
          <c:marker>
            <c:symbol val="none"/>
          </c:marker>
          <c:xVal>
            <c:numRef>
              <c:f>CMUpr!$M$68:$O$68</c:f>
              <c:numCache>
                <c:formatCode>0.00</c:formatCode>
                <c:ptCount val="3"/>
                <c:pt idx="0">
                  <c:v>4.9372400187985388</c:v>
                </c:pt>
                <c:pt idx="1">
                  <c:v>2.4686200093992694</c:v>
                </c:pt>
                <c:pt idx="2">
                  <c:v>0</c:v>
                </c:pt>
              </c:numCache>
            </c:numRef>
          </c:xVal>
          <c:yVal>
            <c:numRef>
              <c:f>CMUpr!$P$68:$U$68</c:f>
              <c:numCache>
                <c:formatCode>General</c:formatCode>
                <c:ptCount val="6"/>
                <c:pt idx="0">
                  <c:v>4.8514034465200657</c:v>
                </c:pt>
                <c:pt idx="1">
                  <c:v>6.162451667654155</c:v>
                </c:pt>
                <c:pt idx="2">
                  <c:v>4.0729621172485997</c:v>
                </c:pt>
                <c:pt idx="3">
                  <c:v>0.20753931184790808</c:v>
                </c:pt>
              </c:numCache>
            </c:numRef>
          </c:yVal>
          <c:smooth val="1"/>
        </c:ser>
        <c:ser>
          <c:idx val="16"/>
          <c:order val="16"/>
          <c:marker>
            <c:symbol val="none"/>
          </c:marker>
          <c:xVal>
            <c:numRef>
              <c:f>CMUpr!$M$69:$O$69</c:f>
              <c:numCache>
                <c:formatCode>0.00</c:formatCode>
                <c:ptCount val="3"/>
                <c:pt idx="0">
                  <c:v>5.2809366968587916</c:v>
                </c:pt>
                <c:pt idx="1">
                  <c:v>2.6404683484293958</c:v>
                </c:pt>
                <c:pt idx="2">
                  <c:v>0</c:v>
                </c:pt>
              </c:numCache>
            </c:numRef>
          </c:xVal>
          <c:yVal>
            <c:numRef>
              <c:f>CMUpr!$P$69:$U$69</c:f>
              <c:numCache>
                <c:formatCode>General</c:formatCode>
                <c:ptCount val="6"/>
                <c:pt idx="0">
                  <c:v>3.9939174193413671</c:v>
                </c:pt>
                <c:pt idx="1">
                  <c:v>5.6823075242085688</c:v>
                </c:pt>
                <c:pt idx="2">
                  <c:v>3.19606332518075</c:v>
                </c:pt>
                <c:pt idx="3">
                  <c:v>0.27185601874862897</c:v>
                </c:pt>
              </c:numCache>
            </c:numRef>
          </c:yVal>
          <c:smooth val="1"/>
        </c:ser>
        <c:ser>
          <c:idx val="17"/>
          <c:order val="17"/>
          <c:marker>
            <c:symbol val="none"/>
          </c:marker>
          <c:xVal>
            <c:numRef>
              <c:f>CMUpr!$M$70:$O$70</c:f>
              <c:numCache>
                <c:formatCode>0.00</c:formatCode>
                <c:ptCount val="3"/>
                <c:pt idx="0">
                  <c:v>5.6839886111528806</c:v>
                </c:pt>
                <c:pt idx="1">
                  <c:v>2.8419943055764403</c:v>
                </c:pt>
                <c:pt idx="2">
                  <c:v>0</c:v>
                </c:pt>
              </c:numCache>
            </c:numRef>
          </c:xVal>
          <c:yVal>
            <c:numRef>
              <c:f>CMUpr!$P$70:$U$70</c:f>
              <c:numCache>
                <c:formatCode>General</c:formatCode>
                <c:ptCount val="6"/>
                <c:pt idx="0">
                  <c:v>2.9254579275152701</c:v>
                </c:pt>
                <c:pt idx="1">
                  <c:v>5.1067016656212783</c:v>
                </c:pt>
                <c:pt idx="2">
                  <c:v>2.2285153827270259</c:v>
                </c:pt>
                <c:pt idx="3">
                  <c:v>0.34912399569587382</c:v>
                </c:pt>
              </c:numCache>
            </c:numRef>
          </c:yVal>
          <c:smooth val="1"/>
        </c:ser>
        <c:ser>
          <c:idx val="18"/>
          <c:order val="18"/>
          <c:marker>
            <c:symbol val="none"/>
          </c:marker>
          <c:xVal>
            <c:numRef>
              <c:f>CMUpr!$M$71:$O$71</c:f>
              <c:numCache>
                <c:formatCode>0.00</c:formatCode>
                <c:ptCount val="3"/>
                <c:pt idx="0">
                  <c:v>6.1469342903075432</c:v>
                </c:pt>
                <c:pt idx="1">
                  <c:v>3.0734671451537716</c:v>
                </c:pt>
                <c:pt idx="2">
                  <c:v>0</c:v>
                </c:pt>
              </c:numCache>
            </c:numRef>
          </c:xVal>
          <c:yVal>
            <c:numRef>
              <c:f>CMUpr!$P$71:$U$71</c:f>
              <c:numCache>
                <c:formatCode>General</c:formatCode>
                <c:ptCount val="6"/>
                <c:pt idx="0">
                  <c:v>1.6199842539234961</c:v>
                </c:pt>
                <c:pt idx="1">
                  <c:v>4.6084237479978825</c:v>
                </c:pt>
                <c:pt idx="2">
                  <c:v>1.1677255902877577</c:v>
                </c:pt>
                <c:pt idx="3">
                  <c:v>0.28846117134452065</c:v>
                </c:pt>
              </c:numCache>
            </c:numRef>
          </c:yVal>
          <c:smooth val="1"/>
        </c:ser>
        <c:ser>
          <c:idx val="19"/>
          <c:order val="19"/>
          <c:marker>
            <c:symbol val="none"/>
          </c:marker>
          <c:xVal>
            <c:numRef>
              <c:f>CMUpr!$M$52:$O$52</c:f>
              <c:numCache>
                <c:formatCode>0.00</c:formatCode>
                <c:ptCount val="3"/>
                <c:pt idx="0">
                  <c:v>4.6097699748028926</c:v>
                </c:pt>
                <c:pt idx="1">
                  <c:v>2.3048849874014463</c:v>
                </c:pt>
                <c:pt idx="2">
                  <c:v>0</c:v>
                </c:pt>
              </c:numCache>
            </c:numRef>
          </c:xVal>
          <c:yVal>
            <c:numRef>
              <c:f>CMUpr!$P$52:$U$52</c:f>
              <c:numCache>
                <c:formatCode>General</c:formatCode>
                <c:ptCount val="6"/>
                <c:pt idx="0">
                  <c:v>4.3174562987685938</c:v>
                </c:pt>
                <c:pt idx="1">
                  <c:v>0</c:v>
                </c:pt>
                <c:pt idx="2">
                  <c:v>4.3174562987685938</c:v>
                </c:pt>
                <c:pt idx="3">
                  <c:v>5.782450164578129E-2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33216"/>
        <c:axId val="144712832"/>
      </c:scatterChart>
      <c:valAx>
        <c:axId val="1446332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4712832"/>
        <c:crosses val="autoZero"/>
        <c:crossBetween val="midCat"/>
      </c:valAx>
      <c:valAx>
        <c:axId val="144712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46332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99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3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3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99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99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15</xdr:col>
      <xdr:colOff>552450</xdr:colOff>
      <xdr:row>12</xdr:row>
      <xdr:rowOff>47625</xdr:rowOff>
    </xdr:to>
    <xdr:pic>
      <xdr:nvPicPr>
        <xdr:cNvPr id="2049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0" y="228600"/>
          <a:ext cx="90487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28575</xdr:rowOff>
    </xdr:from>
    <xdr:to>
      <xdr:col>9</xdr:col>
      <xdr:colOff>542925</xdr:colOff>
      <xdr:row>22</xdr:row>
      <xdr:rowOff>66675</xdr:rowOff>
    </xdr:to>
    <xdr:graphicFrame macro="">
      <xdr:nvGraphicFramePr>
        <xdr:cNvPr id="23553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19</xdr:col>
      <xdr:colOff>352425</xdr:colOff>
      <xdr:row>12</xdr:row>
      <xdr:rowOff>171450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22</xdr:row>
      <xdr:rowOff>0</xdr:rowOff>
    </xdr:from>
    <xdr:to>
      <xdr:col>7</xdr:col>
      <xdr:colOff>504825</xdr:colOff>
      <xdr:row>41</xdr:row>
      <xdr:rowOff>114300</xdr:rowOff>
    </xdr:to>
    <xdr:graphicFrame macro="">
      <xdr:nvGraphicFramePr>
        <xdr:cNvPr id="307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19</xdr:col>
      <xdr:colOff>285750</xdr:colOff>
      <xdr:row>54</xdr:row>
      <xdr:rowOff>114300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0</xdr:row>
      <xdr:rowOff>85725</xdr:rowOff>
    </xdr:from>
    <xdr:to>
      <xdr:col>19</xdr:col>
      <xdr:colOff>123825</xdr:colOff>
      <xdr:row>21</xdr:row>
      <xdr:rowOff>57150</xdr:rowOff>
    </xdr:to>
    <xdr:graphicFrame macro="">
      <xdr:nvGraphicFramePr>
        <xdr:cNvPr id="358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212912</xdr:colOff>
      <xdr:row>6</xdr:row>
      <xdr:rowOff>169209</xdr:rowOff>
    </xdr:from>
    <xdr:to>
      <xdr:col>18</xdr:col>
      <xdr:colOff>549088</xdr:colOff>
      <xdr:row>21</xdr:row>
      <xdr:rowOff>54909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4</xdr:row>
      <xdr:rowOff>176212</xdr:rowOff>
    </xdr:from>
    <xdr:to>
      <xdr:col>20</xdr:col>
      <xdr:colOff>95250</xdr:colOff>
      <xdr:row>19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95250</xdr:colOff>
      <xdr:row>52</xdr:row>
      <xdr:rowOff>109537</xdr:rowOff>
    </xdr:from>
    <xdr:to>
      <xdr:col>17</xdr:col>
      <xdr:colOff>400050</xdr:colOff>
      <xdr:row>66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428625</xdr:colOff>
      <xdr:row>76</xdr:row>
      <xdr:rowOff>80962</xdr:rowOff>
    </xdr:from>
    <xdr:to>
      <xdr:col>18</xdr:col>
      <xdr:colOff>123825</xdr:colOff>
      <xdr:row>90</xdr:row>
      <xdr:rowOff>157162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666750</xdr:colOff>
      <xdr:row>43</xdr:row>
      <xdr:rowOff>57150</xdr:rowOff>
    </xdr:from>
    <xdr:to>
      <xdr:col>34</xdr:col>
      <xdr:colOff>190500</xdr:colOff>
      <xdr:row>89</xdr:row>
      <xdr:rowOff>95250</xdr:rowOff>
    </xdr:to>
    <xdr:graphicFrame macro="">
      <xdr:nvGraphicFramePr>
        <xdr:cNvPr id="378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114300</xdr:colOff>
      <xdr:row>0</xdr:row>
      <xdr:rowOff>47625</xdr:rowOff>
    </xdr:from>
    <xdr:to>
      <xdr:col>51</xdr:col>
      <xdr:colOff>57150</xdr:colOff>
      <xdr:row>23</xdr:row>
      <xdr:rowOff>104775</xdr:rowOff>
    </xdr:to>
    <xdr:graphicFrame macro="">
      <xdr:nvGraphicFramePr>
        <xdr:cNvPr id="399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466725</xdr:colOff>
      <xdr:row>6</xdr:row>
      <xdr:rowOff>166687</xdr:rowOff>
    </xdr:from>
    <xdr:to>
      <xdr:col>22</xdr:col>
      <xdr:colOff>161925</xdr:colOff>
      <xdr:row>21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0</xdr:row>
      <xdr:rowOff>171450</xdr:rowOff>
    </xdr:from>
    <xdr:to>
      <xdr:col>12</xdr:col>
      <xdr:colOff>266700</xdr:colOff>
      <xdr:row>20</xdr:row>
      <xdr:rowOff>19050</xdr:rowOff>
    </xdr:to>
    <xdr:graphicFrame macro="">
      <xdr:nvGraphicFramePr>
        <xdr:cNvPr id="419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21</xdr:col>
      <xdr:colOff>180975</xdr:colOff>
      <xdr:row>32</xdr:row>
      <xdr:rowOff>123825</xdr:rowOff>
    </xdr:to>
    <xdr:graphicFrame macro="">
      <xdr:nvGraphicFramePr>
        <xdr:cNvPr id="6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21</xdr:col>
      <xdr:colOff>152400</xdr:colOff>
      <xdr:row>34</xdr:row>
      <xdr:rowOff>123825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25731</xdr:colOff>
      <xdr:row>38</xdr:row>
      <xdr:rowOff>119000</xdr:rowOff>
    </xdr:from>
    <xdr:to>
      <xdr:col>21</xdr:col>
      <xdr:colOff>148442</xdr:colOff>
      <xdr:row>68</xdr:row>
      <xdr:rowOff>148441</xdr:rowOff>
    </xdr:to>
    <xdr:graphicFrame macro="">
      <xdr:nvGraphicFramePr>
        <xdr:cNvPr id="8194" name="Chart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20</xdr:col>
      <xdr:colOff>352425</xdr:colOff>
      <xdr:row>34</xdr:row>
      <xdr:rowOff>123825</xdr:rowOff>
    </xdr:to>
    <xdr:graphicFrame macro="">
      <xdr:nvGraphicFramePr>
        <xdr:cNvPr id="112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22</xdr:col>
      <xdr:colOff>438150</xdr:colOff>
      <xdr:row>32</xdr:row>
      <xdr:rowOff>123825</xdr:rowOff>
    </xdr:to>
    <xdr:graphicFrame macro="">
      <xdr:nvGraphicFramePr>
        <xdr:cNvPr id="133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571499</xdr:colOff>
      <xdr:row>74</xdr:row>
      <xdr:rowOff>38832</xdr:rowOff>
    </xdr:from>
    <xdr:to>
      <xdr:col>20</xdr:col>
      <xdr:colOff>124557</xdr:colOff>
      <xdr:row>91</xdr:row>
      <xdr:rowOff>83282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38100</xdr:rowOff>
    </xdr:from>
    <xdr:to>
      <xdr:col>11</xdr:col>
      <xdr:colOff>228600</xdr:colOff>
      <xdr:row>27</xdr:row>
      <xdr:rowOff>123825</xdr:rowOff>
    </xdr:to>
    <xdr:graphicFrame macro="">
      <xdr:nvGraphicFramePr>
        <xdr:cNvPr id="1025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0</xdr:row>
      <xdr:rowOff>38100</xdr:rowOff>
    </xdr:from>
    <xdr:to>
      <xdr:col>21</xdr:col>
      <xdr:colOff>419100</xdr:colOff>
      <xdr:row>27</xdr:row>
      <xdr:rowOff>123825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22</xdr:col>
      <xdr:colOff>0</xdr:colOff>
      <xdr:row>1</xdr:row>
      <xdr:rowOff>0</xdr:rowOff>
    </xdr:from>
    <xdr:to>
      <xdr:col>33</xdr:col>
      <xdr:colOff>250031</xdr:colOff>
      <xdr:row>28</xdr:row>
      <xdr:rowOff>85725</xdr:rowOff>
    </xdr:to>
    <xdr:graphicFrame macro="">
      <xdr:nvGraphicFramePr>
        <xdr:cNvPr id="4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38100</xdr:rowOff>
    </xdr:from>
    <xdr:to>
      <xdr:col>11</xdr:col>
      <xdr:colOff>161925</xdr:colOff>
      <xdr:row>27</xdr:row>
      <xdr:rowOff>123825</xdr:rowOff>
    </xdr:to>
    <xdr:graphicFrame macro="">
      <xdr:nvGraphicFramePr>
        <xdr:cNvPr id="17409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285750</xdr:colOff>
      <xdr:row>0</xdr:row>
      <xdr:rowOff>38100</xdr:rowOff>
    </xdr:from>
    <xdr:to>
      <xdr:col>24</xdr:col>
      <xdr:colOff>504825</xdr:colOff>
      <xdr:row>27</xdr:row>
      <xdr:rowOff>123825</xdr:rowOff>
    </xdr:to>
    <xdr:graphicFrame macro="">
      <xdr:nvGraphicFramePr>
        <xdr:cNvPr id="174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333375</xdr:colOff>
      <xdr:row>5</xdr:row>
      <xdr:rowOff>161924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14008</xdr:colOff>
      <xdr:row>5</xdr:row>
      <xdr:rowOff>188819</xdr:rowOff>
    </xdr:from>
    <xdr:to>
      <xdr:col>27</xdr:col>
      <xdr:colOff>347383</xdr:colOff>
      <xdr:row>16</xdr:row>
      <xdr:rowOff>74519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cca.navy.mil/services/JIC_Inflation_Calc_FY11_Ver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ine/Ships/MNVDET/Current%20Spreadsheets/Post-MNVDET%20Hull%2003c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ine/Ships/MNVDET/Current%20Spreadsheets/Mine/Ships/EXCEL/Mine/Ships/CVs/CVL-11-15-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ine/Ships/MNVDET/Current%20Spreadsheets/Mine/Ships/EXCEL/Mine/Ships/MNVDET/Current%20Spreadsheets/Post-MNVDET%20Hull%2003b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ips\CV\Downloads\My%20Docs\Ships\CVs\Users\PFJN\AppData\Roaming\Microsoft\Excel\Lightsh1Chec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FJN\Desktop\Lightsh1Chec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ips\CV\Downloads\My%20Docs\Ships\CVs\Ships\Ship%20Spreadsheets\Hullform\Hullform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ips\CV\Downloads\My%20Docs\Ships\CVs\Mine%20Xfer\Ship%20Data\Sim%20Ships\Speed%20&amp;%20Power\Documents%20and%20Settings\pnaughton\My%20Documents\My%20Work%20Files\FMHS%20LCS\FMH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e%20Xfer\Ship%20Data\Sim%20Ships\Speed%20&amp;%20Power\Documents%20and%20Settings\pnaughton\My%20Documents\My%20Work%20Files\FMHS%20LCS\FMH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Query"/>
      <sheetName val="Inflation Table"/>
      <sheetName val="Multi Appn"/>
      <sheetName val="Army Multi Appn"/>
      <sheetName val="SAR Calc"/>
      <sheetName val="SAR"/>
      <sheetName val="Army Notes"/>
      <sheetName val="Titles"/>
      <sheetName val="Definitions"/>
      <sheetName val="Instructions"/>
      <sheetName val="1970=1 Infl Index"/>
      <sheetName val="Inflation"/>
      <sheetName val="CombOutFac(COF)"/>
      <sheetName val="Compos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</row>
        <row r="7"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1</v>
          </cell>
          <cell r="CB7">
            <v>1</v>
          </cell>
          <cell r="CC7">
            <v>1</v>
          </cell>
          <cell r="CD7">
            <v>1</v>
          </cell>
        </row>
        <row r="8">
          <cell r="B8">
            <v>1.0513999999999999</v>
          </cell>
          <cell r="C8">
            <v>1.0869</v>
          </cell>
          <cell r="D8">
            <v>1.0401</v>
          </cell>
          <cell r="E8">
            <v>1.0455000000000001</v>
          </cell>
          <cell r="F8">
            <v>1.0455000000000001</v>
          </cell>
          <cell r="G8">
            <v>1.0455000000000001</v>
          </cell>
          <cell r="H8">
            <v>1.0900000000000001</v>
          </cell>
          <cell r="I8">
            <v>1.0509999999999999</v>
          </cell>
          <cell r="J8">
            <v>1.0831999999999999</v>
          </cell>
          <cell r="K8">
            <v>1.0509999999999999</v>
          </cell>
          <cell r="L8">
            <v>1.0394000000000001</v>
          </cell>
          <cell r="M8">
            <v>1.0831999999999999</v>
          </cell>
          <cell r="N8">
            <v>1.0455000000000001</v>
          </cell>
          <cell r="O8">
            <v>1.0401</v>
          </cell>
          <cell r="P8">
            <v>1.0401</v>
          </cell>
          <cell r="Q8">
            <v>1.0455000000000001</v>
          </cell>
          <cell r="R8">
            <v>1.0831999999999999</v>
          </cell>
          <cell r="S8">
            <v>1.0831999999999999</v>
          </cell>
          <cell r="T8">
            <v>1.0394000000000001</v>
          </cell>
          <cell r="U8">
            <v>1.0869</v>
          </cell>
          <cell r="V8">
            <v>1.0900000000000001</v>
          </cell>
          <cell r="W8">
            <v>1.0401</v>
          </cell>
          <cell r="X8">
            <v>1.0401</v>
          </cell>
          <cell r="Y8">
            <v>1.0401</v>
          </cell>
          <cell r="Z8">
            <v>1.0831999999999999</v>
          </cell>
          <cell r="AA8">
            <v>1.0886</v>
          </cell>
          <cell r="AB8">
            <v>1.0455796879779751</v>
          </cell>
          <cell r="AC8">
            <v>1.0869</v>
          </cell>
          <cell r="AD8">
            <v>1.0401</v>
          </cell>
          <cell r="AE8">
            <v>1.0831999999999999</v>
          </cell>
          <cell r="AF8">
            <v>1.0831999999999999</v>
          </cell>
          <cell r="AG8">
            <v>1.0394000000000001</v>
          </cell>
          <cell r="AH8">
            <v>1.0869</v>
          </cell>
          <cell r="AI8">
            <v>1.0831999999999999</v>
          </cell>
          <cell r="AJ8">
            <v>1.0831999999999999</v>
          </cell>
          <cell r="AK8">
            <v>1.0394000000000001</v>
          </cell>
          <cell r="AL8">
            <v>1.0401</v>
          </cell>
          <cell r="AM8">
            <v>1.0869</v>
          </cell>
          <cell r="AN8">
            <v>1.0401</v>
          </cell>
          <cell r="AO8">
            <v>1.0455000000000001</v>
          </cell>
          <cell r="AP8">
            <v>1.0455000000000001</v>
          </cell>
          <cell r="AQ8">
            <v>1.0455000000000001</v>
          </cell>
          <cell r="AR8">
            <v>1.0556593999999999</v>
          </cell>
          <cell r="AS8">
            <v>1.0610211368002447</v>
          </cell>
          <cell r="AT8">
            <v>1.0641948000000001</v>
          </cell>
          <cell r="AU8">
            <v>1.07536418</v>
          </cell>
          <cell r="AV8">
            <v>1.0765480417754569</v>
          </cell>
          <cell r="AW8">
            <v>1.0451892798239919</v>
          </cell>
          <cell r="AX8">
            <v>1.0468900000000001</v>
          </cell>
          <cell r="AY8">
            <v>1.0401</v>
          </cell>
          <cell r="AZ8">
            <v>1.0870221174004193</v>
          </cell>
          <cell r="BA8">
            <v>1.0803092000000001</v>
          </cell>
          <cell r="BB8">
            <v>1.0738706</v>
          </cell>
          <cell r="BC8">
            <v>1.0526905328234935</v>
          </cell>
          <cell r="BD8">
            <v>1.0444987434505966</v>
          </cell>
          <cell r="BE8">
            <v>1.028</v>
          </cell>
          <cell r="BF8">
            <v>1.028</v>
          </cell>
          <cell r="BG8">
            <v>1.028</v>
          </cell>
          <cell r="BH8">
            <v>1.028</v>
          </cell>
          <cell r="BI8">
            <v>1.028</v>
          </cell>
          <cell r="BJ8">
            <v>1.028</v>
          </cell>
          <cell r="BK8">
            <v>1.0090356984150497</v>
          </cell>
          <cell r="BL8">
            <v>1.028</v>
          </cell>
          <cell r="BM8">
            <v>0.86649447809048796</v>
          </cell>
          <cell r="BN8">
            <v>1.028</v>
          </cell>
          <cell r="BO8">
            <v>1.028</v>
          </cell>
          <cell r="BP8">
            <v>1.028</v>
          </cell>
          <cell r="BQ8">
            <v>1.028</v>
          </cell>
          <cell r="BR8">
            <v>1.028</v>
          </cell>
          <cell r="BS8">
            <v>1.028</v>
          </cell>
          <cell r="BT8">
            <v>1.028</v>
          </cell>
          <cell r="BU8">
            <v>1.028</v>
          </cell>
          <cell r="BV8">
            <v>1.04</v>
          </cell>
          <cell r="BW8">
            <v>1.0249999999999999</v>
          </cell>
          <cell r="BX8">
            <v>1.0379156511841758</v>
          </cell>
          <cell r="BY8">
            <v>1.0249999999999999</v>
          </cell>
          <cell r="BZ8">
            <v>1.0379156511841758</v>
          </cell>
          <cell r="CA8">
            <v>1.0249999999999999</v>
          </cell>
          <cell r="CB8">
            <v>1.0379156511841758</v>
          </cell>
          <cell r="CC8">
            <v>1.028</v>
          </cell>
          <cell r="CD8">
            <v>1.028</v>
          </cell>
        </row>
        <row r="9">
          <cell r="B9">
            <v>1.0998695399999998</v>
          </cell>
          <cell r="C9">
            <v>1.1514618599999999</v>
          </cell>
          <cell r="D9">
            <v>1.0826400899999999</v>
          </cell>
          <cell r="E9">
            <v>1.0855426500000001</v>
          </cell>
          <cell r="F9">
            <v>1.0855426500000001</v>
          </cell>
          <cell r="G9">
            <v>1.0855426500000001</v>
          </cell>
          <cell r="H9">
            <v>1.1696789999999999</v>
          </cell>
          <cell r="I9">
            <v>1.0972439999999999</v>
          </cell>
          <cell r="J9">
            <v>1.26387776</v>
          </cell>
          <cell r="K9">
            <v>1.0972439999999999</v>
          </cell>
          <cell r="L9">
            <v>1.07089382</v>
          </cell>
          <cell r="M9">
            <v>1.26387776</v>
          </cell>
          <cell r="N9">
            <v>1.0855426500000001</v>
          </cell>
          <cell r="O9">
            <v>1.0826400899999999</v>
          </cell>
          <cell r="P9">
            <v>1.0826400899999999</v>
          </cell>
          <cell r="Q9">
            <v>1.0855426500000001</v>
          </cell>
          <cell r="R9">
            <v>1.26387776</v>
          </cell>
          <cell r="S9">
            <v>1.26387776</v>
          </cell>
          <cell r="T9">
            <v>1.07089382</v>
          </cell>
          <cell r="U9">
            <v>1.1514618599999999</v>
          </cell>
          <cell r="V9">
            <v>1.1696789999999999</v>
          </cell>
          <cell r="W9">
            <v>1.0826400899999999</v>
          </cell>
          <cell r="X9">
            <v>1.0826400899999999</v>
          </cell>
          <cell r="Y9">
            <v>1.0826400899999999</v>
          </cell>
          <cell r="Z9">
            <v>1.26387776</v>
          </cell>
          <cell r="AA9">
            <v>1.18091328</v>
          </cell>
          <cell r="AB9">
            <v>1.0856531049250537</v>
          </cell>
          <cell r="AC9">
            <v>1.1514618599999999</v>
          </cell>
          <cell r="AD9">
            <v>1.0826400899999999</v>
          </cell>
          <cell r="AE9">
            <v>1.26387776</v>
          </cell>
          <cell r="AF9">
            <v>1.26387776</v>
          </cell>
          <cell r="AG9">
            <v>1.07089382</v>
          </cell>
          <cell r="AH9">
            <v>1.1514618599999999</v>
          </cell>
          <cell r="AI9">
            <v>1.26387776</v>
          </cell>
          <cell r="AJ9">
            <v>1.26387776</v>
          </cell>
          <cell r="AK9">
            <v>1.07089382</v>
          </cell>
          <cell r="AL9">
            <v>1.0826400899999999</v>
          </cell>
          <cell r="AM9">
            <v>1.1514618599999999</v>
          </cell>
          <cell r="AN9">
            <v>1.0826400899999999</v>
          </cell>
          <cell r="AO9">
            <v>1.0855426500000001</v>
          </cell>
          <cell r="AP9">
            <v>1.0855426500000001</v>
          </cell>
          <cell r="AQ9">
            <v>1.0855426500000001</v>
          </cell>
          <cell r="AR9">
            <v>1.10900308349031</v>
          </cell>
          <cell r="AS9">
            <v>1.1231464807813702</v>
          </cell>
          <cell r="AT9">
            <v>1.1309299450944963</v>
          </cell>
          <cell r="AU9">
            <v>1.2284746932530268</v>
          </cell>
          <cell r="AV9">
            <v>1.2337989645047345</v>
          </cell>
          <cell r="AW9">
            <v>1.0912679620767032</v>
          </cell>
          <cell r="AX9">
            <v>1.09614198694</v>
          </cell>
          <cell r="AY9">
            <v>1.0826400899999999</v>
          </cell>
          <cell r="AZ9">
            <v>1.1535745874125045</v>
          </cell>
          <cell r="BA9">
            <v>1.2507722689772001</v>
          </cell>
          <cell r="BB9">
            <v>1.2217699653203</v>
          </cell>
          <cell r="BC9">
            <v>1.1075600368983896</v>
          </cell>
          <cell r="BD9">
            <v>1.0911618567181247</v>
          </cell>
          <cell r="BE9">
            <v>1.0557560000000001</v>
          </cell>
          <cell r="BF9">
            <v>1.0557560000000001</v>
          </cell>
          <cell r="BG9">
            <v>1.0557560000000001</v>
          </cell>
          <cell r="BH9">
            <v>1.0557559999999999</v>
          </cell>
          <cell r="BI9">
            <v>1.0557560000000001</v>
          </cell>
          <cell r="BJ9">
            <v>1.0557559999999999</v>
          </cell>
          <cell r="BK9">
            <v>1.0316990075544363</v>
          </cell>
          <cell r="BL9">
            <v>1.0557559999999999</v>
          </cell>
          <cell r="BM9">
            <v>0.79560028500178115</v>
          </cell>
          <cell r="BN9">
            <v>1.0557559999999999</v>
          </cell>
          <cell r="BO9">
            <v>1.0557559999999999</v>
          </cell>
          <cell r="BP9">
            <v>1.0557559999999999</v>
          </cell>
          <cell r="BQ9">
            <v>1.0557560000000001</v>
          </cell>
          <cell r="BR9">
            <v>1.0557560000000001</v>
          </cell>
          <cell r="BS9">
            <v>1.0557560000000001</v>
          </cell>
          <cell r="BT9">
            <v>1.0557560000000001</v>
          </cell>
          <cell r="BU9">
            <v>1.0557560000000001</v>
          </cell>
          <cell r="BV9">
            <v>1.0633999999999999</v>
          </cell>
          <cell r="BW9">
            <v>1.0526749999999998</v>
          </cell>
          <cell r="BX9">
            <v>1.0619096905966856</v>
          </cell>
          <cell r="BY9">
            <v>1.0526749999999998</v>
          </cell>
          <cell r="BZ9">
            <v>1.0619096905966856</v>
          </cell>
          <cell r="CA9">
            <v>1.0526749999999998</v>
          </cell>
          <cell r="CB9">
            <v>1.0619096905966856</v>
          </cell>
          <cell r="CC9">
            <v>1.0557559999999999</v>
          </cell>
          <cell r="CD9">
            <v>1.0557559999999999</v>
          </cell>
        </row>
        <row r="10">
          <cell r="B10">
            <v>1.1477138649899998</v>
          </cell>
          <cell r="C10">
            <v>1.2153679932300001</v>
          </cell>
          <cell r="D10">
            <v>1.108406924142</v>
          </cell>
          <cell r="E10">
            <v>1.1307012242400001</v>
          </cell>
          <cell r="F10">
            <v>1.1307012242400001</v>
          </cell>
          <cell r="G10">
            <v>1.1307012242400001</v>
          </cell>
          <cell r="H10">
            <v>1.2549485990999998</v>
          </cell>
          <cell r="I10">
            <v>1.1553979319999998</v>
          </cell>
          <cell r="J10">
            <v>1.4212305411200001</v>
          </cell>
          <cell r="K10">
            <v>1.1553979319999998</v>
          </cell>
          <cell r="L10">
            <v>1.1345049129079998</v>
          </cell>
          <cell r="M10">
            <v>1.4212305411200001</v>
          </cell>
          <cell r="N10">
            <v>1.1307012242400001</v>
          </cell>
          <cell r="O10">
            <v>1.108406924142</v>
          </cell>
          <cell r="P10">
            <v>1.108406924142</v>
          </cell>
          <cell r="Q10">
            <v>1.1307012242400001</v>
          </cell>
          <cell r="R10">
            <v>1.4212305411200001</v>
          </cell>
          <cell r="S10">
            <v>1.4212305411200001</v>
          </cell>
          <cell r="T10">
            <v>1.1345049129079998</v>
          </cell>
          <cell r="U10">
            <v>1.2153679932300001</v>
          </cell>
          <cell r="V10">
            <v>1.2549485990999998</v>
          </cell>
          <cell r="W10">
            <v>1.108406924142</v>
          </cell>
          <cell r="X10">
            <v>1.108406924142</v>
          </cell>
          <cell r="Y10">
            <v>1.108406924142</v>
          </cell>
          <cell r="Z10">
            <v>1.4212305411200001</v>
          </cell>
          <cell r="AA10">
            <v>1.251413802816</v>
          </cell>
          <cell r="AB10">
            <v>1.1306209850107067</v>
          </cell>
          <cell r="AC10">
            <v>1.2153679932300001</v>
          </cell>
          <cell r="AD10">
            <v>1.108406924142</v>
          </cell>
          <cell r="AE10">
            <v>1.4212305411200001</v>
          </cell>
          <cell r="AF10">
            <v>1.4212305411200001</v>
          </cell>
          <cell r="AG10">
            <v>1.1345049129079998</v>
          </cell>
          <cell r="AH10">
            <v>1.2153679932300001</v>
          </cell>
          <cell r="AI10">
            <v>1.4212305411200001</v>
          </cell>
          <cell r="AJ10">
            <v>1.4212305411200001</v>
          </cell>
          <cell r="AK10">
            <v>1.1345049129079998</v>
          </cell>
          <cell r="AL10">
            <v>1.108406924142</v>
          </cell>
          <cell r="AM10">
            <v>1.2153679932300001</v>
          </cell>
          <cell r="AN10">
            <v>1.108406924142</v>
          </cell>
          <cell r="AO10">
            <v>1.1307012242400001</v>
          </cell>
          <cell r="AP10">
            <v>1.1307012242400001</v>
          </cell>
          <cell r="AQ10">
            <v>1.1307012242400001</v>
          </cell>
          <cell r="AR10">
            <v>1.1593018074417045</v>
          </cell>
          <cell r="AS10">
            <v>1.1698678246391068</v>
          </cell>
          <cell r="AT10">
            <v>1.178016349070099</v>
          </cell>
          <cell r="AU10">
            <v>1.3671124971802735</v>
          </cell>
          <cell r="AV10">
            <v>1.3752085939434282</v>
          </cell>
          <cell r="AW10">
            <v>1.1241414052006602</v>
          </cell>
          <cell r="AX10">
            <v>1.1277393758555325</v>
          </cell>
          <cell r="AY10">
            <v>1.108406924142</v>
          </cell>
          <cell r="AZ10">
            <v>1.2179460125581214</v>
          </cell>
          <cell r="BA10">
            <v>1.4011193483339741</v>
          </cell>
          <cell r="BB10">
            <v>1.3569388971325564</v>
          </cell>
          <cell r="BC10">
            <v>1.1445874997402208</v>
          </cell>
          <cell r="BD10">
            <v>1.1210898417501842</v>
          </cell>
          <cell r="BE10">
            <v>1.0874286800000001</v>
          </cell>
          <cell r="BF10">
            <v>1.0874286800000001</v>
          </cell>
          <cell r="BG10">
            <v>1.0874286800000001</v>
          </cell>
          <cell r="BH10">
            <v>1.0874286799999999</v>
          </cell>
          <cell r="BI10">
            <v>1.0874286800000001</v>
          </cell>
          <cell r="BJ10">
            <v>1.0874286800000001</v>
          </cell>
          <cell r="BK10">
            <v>1.0548066953043995</v>
          </cell>
          <cell r="BL10">
            <v>1.0874286799999999</v>
          </cell>
          <cell r="BM10">
            <v>0.6669041681510508</v>
          </cell>
          <cell r="BN10">
            <v>1.0874286799999999</v>
          </cell>
          <cell r="BO10">
            <v>1.0874286799999999</v>
          </cell>
          <cell r="BP10">
            <v>1.0874286799999999</v>
          </cell>
          <cell r="BQ10">
            <v>1.0874286800000001</v>
          </cell>
          <cell r="BR10">
            <v>1.0874286800000001</v>
          </cell>
          <cell r="BS10">
            <v>1.0874286800000001</v>
          </cell>
          <cell r="BT10">
            <v>1.0874286800000001</v>
          </cell>
          <cell r="BU10">
            <v>1.0874286800000001</v>
          </cell>
          <cell r="BV10">
            <v>1.0872679999999999</v>
          </cell>
          <cell r="BW10">
            <v>1.0842552499999998</v>
          </cell>
          <cell r="BX10">
            <v>1.0868493585403414</v>
          </cell>
          <cell r="BY10">
            <v>1.0842552499999998</v>
          </cell>
          <cell r="BZ10">
            <v>1.0868493585403414</v>
          </cell>
          <cell r="CA10">
            <v>1.0842552499999998</v>
          </cell>
          <cell r="CB10">
            <v>1.0868493585403414</v>
          </cell>
          <cell r="CC10">
            <v>1.0874286799999999</v>
          </cell>
          <cell r="CD10">
            <v>1.0874286799999999</v>
          </cell>
        </row>
        <row r="11">
          <cell r="B11">
            <v>1.2391866600297028</v>
          </cell>
          <cell r="C11">
            <v>1.3582952692338481</v>
          </cell>
          <cell r="D11">
            <v>1.247511993121821</v>
          </cell>
          <cell r="E11">
            <v>1.1959426848786481</v>
          </cell>
          <cell r="F11">
            <v>1.1959426848786481</v>
          </cell>
          <cell r="G11">
            <v>1.1959426848786481</v>
          </cell>
          <cell r="H11">
            <v>1.4493401371005898</v>
          </cell>
          <cell r="I11">
            <v>1.2593837458799999</v>
          </cell>
          <cell r="J11">
            <v>1.5177320948620483</v>
          </cell>
          <cell r="K11">
            <v>1.2593837458799999</v>
          </cell>
          <cell r="L11">
            <v>1.2304840285400167</v>
          </cell>
          <cell r="M11">
            <v>1.5177320948620483</v>
          </cell>
          <cell r="N11">
            <v>1.1959426848786481</v>
          </cell>
          <cell r="O11">
            <v>1.247511993121821</v>
          </cell>
          <cell r="P11">
            <v>1.247511993121821</v>
          </cell>
          <cell r="Q11">
            <v>1.1959426848786481</v>
          </cell>
          <cell r="R11">
            <v>1.5177320948620483</v>
          </cell>
          <cell r="S11">
            <v>1.5177320948620483</v>
          </cell>
          <cell r="T11">
            <v>1.2304840285400167</v>
          </cell>
          <cell r="U11">
            <v>1.3582952692338481</v>
          </cell>
          <cell r="V11">
            <v>1.4493401371005898</v>
          </cell>
          <cell r="W11">
            <v>1.247511993121821</v>
          </cell>
          <cell r="X11">
            <v>1.247511993121821</v>
          </cell>
          <cell r="Y11">
            <v>1.247511993121821</v>
          </cell>
          <cell r="Z11">
            <v>1.5177320948620483</v>
          </cell>
          <cell r="AA11">
            <v>1.3652924588722559</v>
          </cell>
          <cell r="AB11">
            <v>1.1973080452737841</v>
          </cell>
          <cell r="AC11">
            <v>1.3582952692338481</v>
          </cell>
          <cell r="AD11">
            <v>1.247511993121821</v>
          </cell>
          <cell r="AE11">
            <v>1.5177320948620483</v>
          </cell>
          <cell r="AF11">
            <v>1.5177320948620483</v>
          </cell>
          <cell r="AG11">
            <v>1.2304840285400167</v>
          </cell>
          <cell r="AH11">
            <v>1.3582952692338481</v>
          </cell>
          <cell r="AI11">
            <v>1.5177320948620483</v>
          </cell>
          <cell r="AJ11">
            <v>1.5177320948620483</v>
          </cell>
          <cell r="AK11">
            <v>1.2304840285400167</v>
          </cell>
          <cell r="AL11">
            <v>1.247511993121821</v>
          </cell>
          <cell r="AM11">
            <v>1.3582952692338481</v>
          </cell>
          <cell r="AN11">
            <v>1.247511993121821</v>
          </cell>
          <cell r="AO11">
            <v>1.1959426848786481</v>
          </cell>
          <cell r="AP11">
            <v>1.1959426848786481</v>
          </cell>
          <cell r="AQ11">
            <v>1.1959426848786481</v>
          </cell>
          <cell r="AR11">
            <v>1.253198124138367</v>
          </cell>
          <cell r="AS11">
            <v>1.2867859915697029</v>
          </cell>
          <cell r="AT11">
            <v>1.3056666718618746</v>
          </cell>
          <cell r="AU11">
            <v>1.4640238620487649</v>
          </cell>
          <cell r="AV11">
            <v>1.4720731287724831</v>
          </cell>
          <cell r="AW11">
            <v>1.247881677703822</v>
          </cell>
          <cell r="AX11">
            <v>1.2638236863400196</v>
          </cell>
          <cell r="AY11">
            <v>1.247511993121821</v>
          </cell>
          <cell r="AZ11">
            <v>1.358849239009037</v>
          </cell>
          <cell r="BA11">
            <v>1.4977996658315844</v>
          </cell>
          <cell r="BB11">
            <v>1.4539018155988472</v>
          </cell>
          <cell r="BC11">
            <v>1.2763336434572892</v>
          </cell>
          <cell r="BD11">
            <v>1.2563551894584175</v>
          </cell>
          <cell r="BE11">
            <v>1.1331006845600002</v>
          </cell>
          <cell r="BF11">
            <v>1.13310068456</v>
          </cell>
          <cell r="BG11">
            <v>1.13310068456</v>
          </cell>
          <cell r="BH11">
            <v>1.13310068456</v>
          </cell>
          <cell r="BI11">
            <v>1.13310068456</v>
          </cell>
          <cell r="BJ11">
            <v>1.1331006845600002</v>
          </cell>
          <cell r="BK11">
            <v>1.0925160346615317</v>
          </cell>
          <cell r="BL11">
            <v>1.13310068456</v>
          </cell>
          <cell r="BM11">
            <v>0.6674385464909155</v>
          </cell>
          <cell r="BN11">
            <v>1.13310068456</v>
          </cell>
          <cell r="BO11">
            <v>1.13310068456</v>
          </cell>
          <cell r="BP11">
            <v>1.13310068456</v>
          </cell>
          <cell r="BQ11">
            <v>1.1331006845600002</v>
          </cell>
          <cell r="BR11">
            <v>1.1331006845600002</v>
          </cell>
          <cell r="BS11">
            <v>1.1331006845600002</v>
          </cell>
          <cell r="BT11">
            <v>1.1331006845600002</v>
          </cell>
          <cell r="BU11">
            <v>1.1331006845600002</v>
          </cell>
          <cell r="BV11">
            <v>1.1261378309999999</v>
          </cell>
          <cell r="BW11">
            <v>1.1297939704999997</v>
          </cell>
          <cell r="BX11">
            <v>1.126645875669154</v>
          </cell>
          <cell r="BY11">
            <v>1.1297939704999997</v>
          </cell>
          <cell r="BZ11">
            <v>1.126645875669154</v>
          </cell>
          <cell r="CA11">
            <v>1.1297939704999997</v>
          </cell>
          <cell r="CB11">
            <v>1.126645875669154</v>
          </cell>
          <cell r="CC11">
            <v>1.13310068456</v>
          </cell>
          <cell r="CD11">
            <v>1.13310068456</v>
          </cell>
        </row>
        <row r="12">
          <cell r="B12">
            <v>1.3747536806369522</v>
          </cell>
          <cell r="C12">
            <v>1.5772524666343444</v>
          </cell>
          <cell r="D12">
            <v>1.5088657556808425</v>
          </cell>
          <cell r="E12">
            <v>1.3013052354164572</v>
          </cell>
          <cell r="F12">
            <v>1.3013052354164572</v>
          </cell>
          <cell r="G12">
            <v>1.3013052354164572</v>
          </cell>
          <cell r="H12">
            <v>1.685582579447986</v>
          </cell>
          <cell r="I12">
            <v>1.4369568540490798</v>
          </cell>
          <cell r="J12">
            <v>1.618205959541916</v>
          </cell>
          <cell r="K12">
            <v>1.4369568540490798</v>
          </cell>
          <cell r="L12">
            <v>1.3035747798352935</v>
          </cell>
          <cell r="M12">
            <v>1.618205959541916</v>
          </cell>
          <cell r="N12">
            <v>1.3013052354164572</v>
          </cell>
          <cell r="O12">
            <v>1.5088657556808425</v>
          </cell>
          <cell r="P12">
            <v>1.5088657556808425</v>
          </cell>
          <cell r="Q12">
            <v>1.3013052354164572</v>
          </cell>
          <cell r="R12">
            <v>1.618205959541916</v>
          </cell>
          <cell r="S12">
            <v>1.618205959541916</v>
          </cell>
          <cell r="T12">
            <v>1.3035747798352935</v>
          </cell>
          <cell r="U12">
            <v>1.5772524666343444</v>
          </cell>
          <cell r="V12">
            <v>1.685582579447986</v>
          </cell>
          <cell r="W12">
            <v>1.5088657556808425</v>
          </cell>
          <cell r="X12">
            <v>1.5088657556808425</v>
          </cell>
          <cell r="Y12">
            <v>1.5088657556808425</v>
          </cell>
          <cell r="Z12">
            <v>1.618205959541916</v>
          </cell>
          <cell r="AA12">
            <v>1.4777925574833299</v>
          </cell>
          <cell r="AB12">
            <v>1.3777913735087182</v>
          </cell>
          <cell r="AC12">
            <v>1.5772524666343444</v>
          </cell>
          <cell r="AD12">
            <v>1.5088657556808425</v>
          </cell>
          <cell r="AE12">
            <v>1.618205959541916</v>
          </cell>
          <cell r="AF12">
            <v>1.618205959541916</v>
          </cell>
          <cell r="AG12">
            <v>1.3035747798352935</v>
          </cell>
          <cell r="AH12">
            <v>1.5772524666343444</v>
          </cell>
          <cell r="AI12">
            <v>1.618205959541916</v>
          </cell>
          <cell r="AJ12">
            <v>1.618205959541916</v>
          </cell>
          <cell r="AK12">
            <v>1.3035747798352935</v>
          </cell>
          <cell r="AL12">
            <v>1.5088657556808425</v>
          </cell>
          <cell r="AM12">
            <v>1.5772524666343444</v>
          </cell>
          <cell r="AN12">
            <v>1.5088657556808425</v>
          </cell>
          <cell r="AO12">
            <v>1.3013052354164572</v>
          </cell>
          <cell r="AP12">
            <v>1.3013052354164572</v>
          </cell>
          <cell r="AQ12">
            <v>1.3013052354164572</v>
          </cell>
          <cell r="AR12">
            <v>1.3864237369183305</v>
          </cell>
          <cell r="AS12">
            <v>1.4760769315865361</v>
          </cell>
          <cell r="AT12">
            <v>1.4967597633688947</v>
          </cell>
          <cell r="AU12">
            <v>1.5591612274077336</v>
          </cell>
          <cell r="AV12">
            <v>1.568004124488517</v>
          </cell>
          <cell r="AW12">
            <v>1.4822254581461678</v>
          </cell>
          <cell r="AX12">
            <v>1.5061062699535193</v>
          </cell>
          <cell r="AY12">
            <v>1.5088657556808425</v>
          </cell>
          <cell r="AZ12">
            <v>1.5702039692982319</v>
          </cell>
          <cell r="BA12">
            <v>1.5962817912196101</v>
          </cell>
          <cell r="BB12">
            <v>1.5480442844017774</v>
          </cell>
          <cell r="BC12">
            <v>1.5003095741063188</v>
          </cell>
          <cell r="BD12">
            <v>1.5035506632314479</v>
          </cell>
          <cell r="BE12">
            <v>1.1795578126269601</v>
          </cell>
          <cell r="BF12">
            <v>1.1795578126269601</v>
          </cell>
          <cell r="BG12">
            <v>1.1795578126269601</v>
          </cell>
          <cell r="BH12">
            <v>1.1795578126269599</v>
          </cell>
          <cell r="BI12">
            <v>1.1795578126269601</v>
          </cell>
          <cell r="BJ12">
            <v>1.1795578126269601</v>
          </cell>
          <cell r="BK12">
            <v>1.1332122569526737</v>
          </cell>
          <cell r="BL12">
            <v>1.1795578126269599</v>
          </cell>
          <cell r="BM12">
            <v>0.59547559672247952</v>
          </cell>
          <cell r="BN12">
            <v>1.1795578126269599</v>
          </cell>
          <cell r="BO12">
            <v>1.1795578126269599</v>
          </cell>
          <cell r="BP12">
            <v>1.1795578126269599</v>
          </cell>
          <cell r="BQ12">
            <v>1.1795578126269601</v>
          </cell>
          <cell r="BR12">
            <v>1.1795578126269601</v>
          </cell>
          <cell r="BS12">
            <v>1.1795578126269601</v>
          </cell>
          <cell r="BT12">
            <v>1.1795578126269601</v>
          </cell>
          <cell r="BU12">
            <v>1.1795578126269601</v>
          </cell>
          <cell r="BV12">
            <v>1.1680864652047498</v>
          </cell>
          <cell r="BW12">
            <v>1.1761155232904996</v>
          </cell>
          <cell r="BX12">
            <v>1.169202155718964</v>
          </cell>
          <cell r="BY12">
            <v>1.1761155232904996</v>
          </cell>
          <cell r="BZ12">
            <v>1.169202155718964</v>
          </cell>
          <cell r="CA12">
            <v>1.1761155232904996</v>
          </cell>
          <cell r="CB12">
            <v>1.169202155718964</v>
          </cell>
          <cell r="CC12">
            <v>1.1795578126269599</v>
          </cell>
          <cell r="CD12">
            <v>1.1795578126269599</v>
          </cell>
        </row>
        <row r="13">
          <cell r="B13">
            <v>1.4656248989270548</v>
          </cell>
          <cell r="C13">
            <v>1.6248854911267017</v>
          </cell>
          <cell r="D13">
            <v>1.6108650807648677</v>
          </cell>
          <cell r="E13">
            <v>1.3870612504304018</v>
          </cell>
          <cell r="F13">
            <v>1.3870612504304018</v>
          </cell>
          <cell r="G13">
            <v>1.3870612504304018</v>
          </cell>
          <cell r="H13">
            <v>1.9503876026792646</v>
          </cell>
          <cell r="I13">
            <v>1.6022068922647239</v>
          </cell>
          <cell r="J13">
            <v>1.7007344634785537</v>
          </cell>
          <cell r="K13">
            <v>1.6022068922647239</v>
          </cell>
          <cell r="L13">
            <v>1.3785303296758229</v>
          </cell>
          <cell r="M13">
            <v>1.7007344634785537</v>
          </cell>
          <cell r="N13">
            <v>1.3870612504304018</v>
          </cell>
          <cell r="O13">
            <v>1.6108650807648677</v>
          </cell>
          <cell r="P13">
            <v>1.6108650807648677</v>
          </cell>
          <cell r="Q13">
            <v>1.3870612504304018</v>
          </cell>
          <cell r="R13">
            <v>1.7007344634785537</v>
          </cell>
          <cell r="S13">
            <v>1.7007344634785537</v>
          </cell>
          <cell r="T13">
            <v>1.3785303296758229</v>
          </cell>
          <cell r="U13">
            <v>1.6248854911267017</v>
          </cell>
          <cell r="V13">
            <v>1.9503876026792646</v>
          </cell>
          <cell r="W13">
            <v>1.6108650807648677</v>
          </cell>
          <cell r="X13">
            <v>1.6108650807648677</v>
          </cell>
          <cell r="Y13">
            <v>1.6108650807648677</v>
          </cell>
          <cell r="Z13">
            <v>1.7007344634785537</v>
          </cell>
          <cell r="AA13">
            <v>1.5997104434757048</v>
          </cell>
          <cell r="AB13">
            <v>1.4808810033649433</v>
          </cell>
          <cell r="AC13">
            <v>1.6248854911267017</v>
          </cell>
          <cell r="AD13">
            <v>1.6108650807648677</v>
          </cell>
          <cell r="AE13">
            <v>1.7007344634785537</v>
          </cell>
          <cell r="AF13">
            <v>1.7007344634785537</v>
          </cell>
          <cell r="AG13">
            <v>1.3785303296758229</v>
          </cell>
          <cell r="AH13">
            <v>1.6248854911267017</v>
          </cell>
          <cell r="AI13">
            <v>1.7007344634785537</v>
          </cell>
          <cell r="AJ13">
            <v>1.7007344634785537</v>
          </cell>
          <cell r="AK13">
            <v>1.3785303296758229</v>
          </cell>
          <cell r="AL13">
            <v>1.6108650807648677</v>
          </cell>
          <cell r="AM13">
            <v>1.6248854911267017</v>
          </cell>
          <cell r="AN13">
            <v>1.6108650807648677</v>
          </cell>
          <cell r="AO13">
            <v>1.3870612504304018</v>
          </cell>
          <cell r="AP13">
            <v>1.3870612504304018</v>
          </cell>
          <cell r="AQ13">
            <v>1.3870612504304018</v>
          </cell>
          <cell r="AR13">
            <v>1.4806697724218174</v>
          </cell>
          <cell r="AS13">
            <v>1.5867409370516687</v>
          </cell>
          <cell r="AT13">
            <v>1.609020218104213</v>
          </cell>
          <cell r="AU13">
            <v>1.6404915206388191</v>
          </cell>
          <cell r="AV13">
            <v>1.6495202101013138</v>
          </cell>
          <cell r="AW13">
            <v>1.5862890368235589</v>
          </cell>
          <cell r="AX13">
            <v>1.6110607914815001</v>
          </cell>
          <cell r="AY13">
            <v>1.6108650807648677</v>
          </cell>
          <cell r="AZ13">
            <v>1.6235232377385163</v>
          </cell>
          <cell r="BA13">
            <v>1.6783769674602433</v>
          </cell>
          <cell r="BB13">
            <v>1.6291378102180225</v>
          </cell>
          <cell r="BC13">
            <v>1.6077248603065308</v>
          </cell>
          <cell r="BD13">
            <v>1.6074507250081123</v>
          </cell>
          <cell r="BE13">
            <v>1.2302787985699193</v>
          </cell>
          <cell r="BF13">
            <v>1.2302787985699193</v>
          </cell>
          <cell r="BG13">
            <v>1.2302787985699193</v>
          </cell>
          <cell r="BH13">
            <v>1.2302787985699193</v>
          </cell>
          <cell r="BI13">
            <v>1.2302787985699193</v>
          </cell>
          <cell r="BJ13">
            <v>1.2302787985699193</v>
          </cell>
          <cell r="BK13">
            <v>1.1782574441665425</v>
          </cell>
          <cell r="BL13">
            <v>1.2302787985699193</v>
          </cell>
          <cell r="BM13">
            <v>1.1148022800142501</v>
          </cell>
          <cell r="BN13">
            <v>1.2302787985699193</v>
          </cell>
          <cell r="BO13">
            <v>1.2302787985699193</v>
          </cell>
          <cell r="BP13">
            <v>1.2302787985699193</v>
          </cell>
          <cell r="BQ13">
            <v>1.2302787985699193</v>
          </cell>
          <cell r="BR13">
            <v>1.2302787985699193</v>
          </cell>
          <cell r="BS13">
            <v>1.2302787985699193</v>
          </cell>
          <cell r="BT13">
            <v>1.2302787985699193</v>
          </cell>
          <cell r="BU13">
            <v>1.2302787985699193</v>
          </cell>
          <cell r="BV13">
            <v>1.2145179021966386</v>
          </cell>
          <cell r="BW13">
            <v>1.226688490791991</v>
          </cell>
          <cell r="BX13">
            <v>1.2162090856584122</v>
          </cell>
          <cell r="BY13">
            <v>1.226688490791991</v>
          </cell>
          <cell r="BZ13">
            <v>1.2162090856584122</v>
          </cell>
          <cell r="CA13">
            <v>1.226688490791991</v>
          </cell>
          <cell r="CB13">
            <v>1.2162090856584122</v>
          </cell>
          <cell r="CC13">
            <v>1.2302787985699193</v>
          </cell>
          <cell r="CD13">
            <v>1.2302787985699193</v>
          </cell>
        </row>
        <row r="14">
          <cell r="B14">
            <v>1.5078348960161538</v>
          </cell>
          <cell r="C14">
            <v>1.6502337047882782</v>
          </cell>
          <cell r="D14">
            <v>1.6574190815989722</v>
          </cell>
          <cell r="E14">
            <v>1.4364406309457243</v>
          </cell>
          <cell r="F14">
            <v>1.4364406309457243</v>
          </cell>
          <cell r="G14">
            <v>1.4364406309457243</v>
          </cell>
          <cell r="H14">
            <v>1.9915407810957968</v>
          </cell>
          <cell r="I14">
            <v>1.6342510301100184</v>
          </cell>
          <cell r="J14">
            <v>1.7218235708256877</v>
          </cell>
          <cell r="K14">
            <v>1.6342510301100184</v>
          </cell>
          <cell r="L14">
            <v>1.4542116447750255</v>
          </cell>
          <cell r="M14">
            <v>1.7218235708256877</v>
          </cell>
          <cell r="N14">
            <v>1.4364406309457243</v>
          </cell>
          <cell r="O14">
            <v>1.6574190815989722</v>
          </cell>
          <cell r="P14">
            <v>1.6574190815989722</v>
          </cell>
          <cell r="Q14">
            <v>1.4364406309457243</v>
          </cell>
          <cell r="R14">
            <v>1.7218235708256877</v>
          </cell>
          <cell r="S14">
            <v>1.7218235708256877</v>
          </cell>
          <cell r="T14">
            <v>1.4542116447750255</v>
          </cell>
          <cell r="U14">
            <v>1.6502337047882782</v>
          </cell>
          <cell r="V14">
            <v>1.9915407810957968</v>
          </cell>
          <cell r="W14">
            <v>1.6574190815989722</v>
          </cell>
          <cell r="X14">
            <v>1.6574190815989722</v>
          </cell>
          <cell r="Y14">
            <v>1.6574190815989722</v>
          </cell>
          <cell r="Z14">
            <v>1.7218235708256877</v>
          </cell>
          <cell r="AA14">
            <v>1.6467419305138906</v>
          </cell>
          <cell r="AB14">
            <v>1.4808810033649433</v>
          </cell>
          <cell r="AC14">
            <v>1.6502337047882782</v>
          </cell>
          <cell r="AD14">
            <v>1.6574190815989722</v>
          </cell>
          <cell r="AE14">
            <v>1.7218235708256877</v>
          </cell>
          <cell r="AF14">
            <v>1.7218235708256877</v>
          </cell>
          <cell r="AG14">
            <v>1.4542116447750255</v>
          </cell>
          <cell r="AH14">
            <v>1.6502337047882782</v>
          </cell>
          <cell r="AI14">
            <v>1.7218235708256877</v>
          </cell>
          <cell r="AJ14">
            <v>1.7218235708256877</v>
          </cell>
          <cell r="AK14">
            <v>1.4542116447750255</v>
          </cell>
          <cell r="AL14">
            <v>1.6574190815989722</v>
          </cell>
          <cell r="AM14">
            <v>1.6502337047882782</v>
          </cell>
          <cell r="AN14">
            <v>1.6574190815989722</v>
          </cell>
          <cell r="AO14">
            <v>1.4364406309457243</v>
          </cell>
          <cell r="AP14">
            <v>1.4364406309457243</v>
          </cell>
          <cell r="AQ14">
            <v>1.4364406309457243</v>
          </cell>
          <cell r="AR14">
            <v>1.5234147838809313</v>
          </cell>
          <cell r="AS14">
            <v>1.625106111472266</v>
          </cell>
          <cell r="AT14">
            <v>1.6559205830296018</v>
          </cell>
          <cell r="AU14">
            <v>1.6733066826490377</v>
          </cell>
          <cell r="AV14">
            <v>1.6806211312532751</v>
          </cell>
          <cell r="AW14">
            <v>1.6235570847872745</v>
          </cell>
          <cell r="AX14">
            <v>1.6577332226107191</v>
          </cell>
          <cell r="AY14">
            <v>1.6574190815989722</v>
          </cell>
          <cell r="AZ14">
            <v>1.6504596085030714</v>
          </cell>
          <cell r="BA14">
            <v>1.7038966892504761</v>
          </cell>
          <cell r="BB14">
            <v>1.6640868890917249</v>
          </cell>
          <cell r="BC14">
            <v>1.6533260466992932</v>
          </cell>
          <cell r="BD14">
            <v>1.6527035813714972</v>
          </cell>
          <cell r="BE14">
            <v>1.2671871625270168</v>
          </cell>
          <cell r="BF14">
            <v>1.2671871625270168</v>
          </cell>
          <cell r="BG14">
            <v>1.2671871625270168</v>
          </cell>
          <cell r="BH14">
            <v>1.2671871625270168</v>
          </cell>
          <cell r="BI14">
            <v>1.2671871625270168</v>
          </cell>
          <cell r="BJ14">
            <v>1.267187162527017</v>
          </cell>
          <cell r="BK14">
            <v>1.2274496924604956</v>
          </cell>
          <cell r="BL14">
            <v>1.267187162527017</v>
          </cell>
          <cell r="BM14">
            <v>0.74358745992162434</v>
          </cell>
          <cell r="BN14">
            <v>1.267187162527017</v>
          </cell>
          <cell r="BO14">
            <v>1.267187162527017</v>
          </cell>
          <cell r="BP14">
            <v>1.267187162527017</v>
          </cell>
          <cell r="BQ14">
            <v>1.2671871625270168</v>
          </cell>
          <cell r="BR14">
            <v>1.2671871625270168</v>
          </cell>
          <cell r="BS14">
            <v>1.2671871625270168</v>
          </cell>
          <cell r="BT14">
            <v>1.2671871625270168</v>
          </cell>
          <cell r="BU14">
            <v>1.2671871625270168</v>
          </cell>
          <cell r="BV14">
            <v>1.2652240246133479</v>
          </cell>
          <cell r="BW14">
            <v>1.2634891455157509</v>
          </cell>
          <cell r="BX14">
            <v>1.2649829517338362</v>
          </cell>
          <cell r="BY14">
            <v>1.2634891455157509</v>
          </cell>
          <cell r="BZ14">
            <v>1.2649829517338362</v>
          </cell>
          <cell r="CA14">
            <v>1.2634891455157509</v>
          </cell>
          <cell r="CB14">
            <v>1.2649829517338362</v>
          </cell>
          <cell r="CC14">
            <v>1.267187162527017</v>
          </cell>
          <cell r="CD14">
            <v>1.267187162527017</v>
          </cell>
        </row>
        <row r="15">
          <cell r="B15">
            <v>1.5467370363333706</v>
          </cell>
          <cell r="C15">
            <v>1.69644024852235</v>
          </cell>
          <cell r="D15">
            <v>1.7354835203422836</v>
          </cell>
          <cell r="E15">
            <v>1.4907380867954727</v>
          </cell>
          <cell r="F15">
            <v>1.4907380867954727</v>
          </cell>
          <cell r="G15">
            <v>1.4907380867954727</v>
          </cell>
          <cell r="H15">
            <v>2.1084442249461199</v>
          </cell>
          <cell r="I15">
            <v>1.7355745939768397</v>
          </cell>
          <cell r="J15">
            <v>1.7975838079420181</v>
          </cell>
          <cell r="K15">
            <v>1.7355745939768397</v>
          </cell>
          <cell r="L15">
            <v>1.4505761156630881</v>
          </cell>
          <cell r="M15">
            <v>1.7975838079420181</v>
          </cell>
          <cell r="N15">
            <v>1.4907380867954727</v>
          </cell>
          <cell r="O15">
            <v>1.7354835203422836</v>
          </cell>
          <cell r="P15">
            <v>1.7354835203422836</v>
          </cell>
          <cell r="Q15">
            <v>1.4907380867954727</v>
          </cell>
          <cell r="R15">
            <v>1.7975838079420181</v>
          </cell>
          <cell r="S15">
            <v>1.7975838079420181</v>
          </cell>
          <cell r="T15">
            <v>1.4505761156630881</v>
          </cell>
          <cell r="U15">
            <v>1.69644024852235</v>
          </cell>
          <cell r="V15">
            <v>2.1084442249461199</v>
          </cell>
          <cell r="W15">
            <v>1.7354835203422836</v>
          </cell>
          <cell r="X15">
            <v>1.7354835203422836</v>
          </cell>
          <cell r="Y15">
            <v>1.7354835203422836</v>
          </cell>
          <cell r="Z15">
            <v>1.7975838079420181</v>
          </cell>
          <cell r="AA15">
            <v>1.742088288290645</v>
          </cell>
          <cell r="AB15">
            <v>1.6023248699908228</v>
          </cell>
          <cell r="AC15">
            <v>1.69644024852235</v>
          </cell>
          <cell r="AD15">
            <v>1.7354835203422836</v>
          </cell>
          <cell r="AE15">
            <v>1.7975838079420181</v>
          </cell>
          <cell r="AF15">
            <v>1.7975838079420181</v>
          </cell>
          <cell r="AG15">
            <v>1.4505761156630881</v>
          </cell>
          <cell r="AH15">
            <v>1.69644024852235</v>
          </cell>
          <cell r="AI15">
            <v>1.7975838079420181</v>
          </cell>
          <cell r="AJ15">
            <v>1.7975838079420181</v>
          </cell>
          <cell r="AK15">
            <v>1.4505761156630881</v>
          </cell>
          <cell r="AL15">
            <v>1.7354835203422836</v>
          </cell>
          <cell r="AM15">
            <v>1.69644024852235</v>
          </cell>
          <cell r="AN15">
            <v>1.7354835203422836</v>
          </cell>
          <cell r="AO15">
            <v>1.4907380867954727</v>
          </cell>
          <cell r="AP15">
            <v>1.4907380867954727</v>
          </cell>
          <cell r="AQ15">
            <v>1.4907380867954727</v>
          </cell>
          <cell r="AR15">
            <v>1.5683181201724745</v>
          </cell>
          <cell r="AS15">
            <v>1.7185537242285875</v>
          </cell>
          <cell r="AT15">
            <v>1.7427991850233062</v>
          </cell>
          <cell r="AU15">
            <v>1.7330121893886405</v>
          </cell>
          <cell r="AV15">
            <v>1.7426998970473295</v>
          </cell>
          <cell r="AW15">
            <v>1.7121769400936959</v>
          </cell>
          <cell r="AX15">
            <v>1.7383189500282716</v>
          </cell>
          <cell r="AY15">
            <v>1.7354835203422836</v>
          </cell>
          <cell r="AZ15">
            <v>1.7002173834958247</v>
          </cell>
          <cell r="BA15">
            <v>1.7736388846381874</v>
          </cell>
          <cell r="BB15">
            <v>1.7208247636187519</v>
          </cell>
          <cell r="BC15">
            <v>1.73711409858522</v>
          </cell>
          <cell r="BD15">
            <v>1.7336902796477889</v>
          </cell>
          <cell r="BE15">
            <v>1.2975996544276651</v>
          </cell>
          <cell r="BF15">
            <v>1.2975996544276653</v>
          </cell>
          <cell r="BG15">
            <v>1.2975996544276653</v>
          </cell>
          <cell r="BH15">
            <v>1.2975996544276651</v>
          </cell>
          <cell r="BI15">
            <v>1.2975996544276653</v>
          </cell>
          <cell r="BJ15">
            <v>1.2975996544276653</v>
          </cell>
          <cell r="BK15">
            <v>1.2743996431971094</v>
          </cell>
          <cell r="BL15">
            <v>1.2975996544276653</v>
          </cell>
          <cell r="BM15">
            <v>0.75391877449234035</v>
          </cell>
          <cell r="BN15">
            <v>1.2975996544276653</v>
          </cell>
          <cell r="BO15">
            <v>1.2975996544276653</v>
          </cell>
          <cell r="BP15">
            <v>1.2975996544276653</v>
          </cell>
          <cell r="BQ15">
            <v>1.2975996544276651</v>
          </cell>
          <cell r="BR15">
            <v>1.2975996544276651</v>
          </cell>
          <cell r="BS15">
            <v>1.2975996544276651</v>
          </cell>
          <cell r="BT15">
            <v>1.2975996544276651</v>
          </cell>
          <cell r="BU15">
            <v>1.2975996544276651</v>
          </cell>
          <cell r="BV15">
            <v>1.3136188435548084</v>
          </cell>
          <cell r="BW15">
            <v>1.293812885008129</v>
          </cell>
          <cell r="BX15">
            <v>1.310866675138606</v>
          </cell>
          <cell r="BY15">
            <v>1.293812885008129</v>
          </cell>
          <cell r="BZ15">
            <v>1.310866675138606</v>
          </cell>
          <cell r="CA15">
            <v>1.293812885008129</v>
          </cell>
          <cell r="CB15">
            <v>1.310866675138606</v>
          </cell>
          <cell r="CC15">
            <v>1.2975996544276653</v>
          </cell>
          <cell r="CD15">
            <v>1.2975996544276653</v>
          </cell>
        </row>
        <row r="16">
          <cell r="B16">
            <v>1.6519151548040398</v>
          </cell>
          <cell r="C16">
            <v>1.8267268596088664</v>
          </cell>
          <cell r="D16">
            <v>1.8588763986386199</v>
          </cell>
          <cell r="E16">
            <v>1.5921082766975649</v>
          </cell>
          <cell r="F16">
            <v>1.5921082766975649</v>
          </cell>
          <cell r="G16">
            <v>1.5921082766975649</v>
          </cell>
          <cell r="H16">
            <v>2.2855535398415943</v>
          </cell>
          <cell r="I16">
            <v>1.8778917106829407</v>
          </cell>
          <cell r="J16">
            <v>1.923055157736371</v>
          </cell>
          <cell r="K16">
            <v>1.8778917106829407</v>
          </cell>
          <cell r="L16">
            <v>1.5325336661980526</v>
          </cell>
          <cell r="M16">
            <v>1.923055157736371</v>
          </cell>
          <cell r="N16">
            <v>1.5921082766975649</v>
          </cell>
          <cell r="O16">
            <v>1.8588763986386199</v>
          </cell>
          <cell r="P16">
            <v>1.8588763986386199</v>
          </cell>
          <cell r="Q16">
            <v>1.5921082766975649</v>
          </cell>
          <cell r="R16">
            <v>1.923055157736371</v>
          </cell>
          <cell r="S16">
            <v>1.923055157736371</v>
          </cell>
          <cell r="T16">
            <v>1.5325336661980526</v>
          </cell>
          <cell r="U16">
            <v>1.8267268596088664</v>
          </cell>
          <cell r="V16">
            <v>2.2855535398415943</v>
          </cell>
          <cell r="W16">
            <v>1.8588763986386199</v>
          </cell>
          <cell r="X16">
            <v>1.8588763986386199</v>
          </cell>
          <cell r="Y16">
            <v>1.8588763986386199</v>
          </cell>
          <cell r="Z16">
            <v>1.923055157736371</v>
          </cell>
          <cell r="AA16">
            <v>1.8769259218043408</v>
          </cell>
          <cell r="AB16">
            <v>1.7161211379626795</v>
          </cell>
          <cell r="AC16">
            <v>1.8267268596088664</v>
          </cell>
          <cell r="AD16">
            <v>1.8588763986386199</v>
          </cell>
          <cell r="AE16">
            <v>1.923055157736371</v>
          </cell>
          <cell r="AF16">
            <v>1.923055157736371</v>
          </cell>
          <cell r="AG16">
            <v>1.5325336661980526</v>
          </cell>
          <cell r="AH16">
            <v>1.8267268596088664</v>
          </cell>
          <cell r="AI16">
            <v>1.923055157736371</v>
          </cell>
          <cell r="AJ16">
            <v>1.923055157736371</v>
          </cell>
          <cell r="AK16">
            <v>1.5325336661980526</v>
          </cell>
          <cell r="AL16">
            <v>1.8588763986386199</v>
          </cell>
          <cell r="AM16">
            <v>1.8267268596088664</v>
          </cell>
          <cell r="AN16">
            <v>1.8588763986386199</v>
          </cell>
          <cell r="AO16">
            <v>1.5921082766975649</v>
          </cell>
          <cell r="AP16">
            <v>1.5921082766975649</v>
          </cell>
          <cell r="AQ16">
            <v>1.5921082766975649</v>
          </cell>
          <cell r="AR16">
            <v>1.6766517331369446</v>
          </cell>
          <cell r="AS16">
            <v>1.8451810592896589</v>
          </cell>
          <cell r="AT16">
            <v>1.8721668896797168</v>
          </cell>
          <cell r="AU16">
            <v>1.8498529629949019</v>
          </cell>
          <cell r="AV16">
            <v>1.8608202932415097</v>
          </cell>
          <cell r="AW16">
            <v>1.8347888767581435</v>
          </cell>
          <cell r="AX16">
            <v>1.8634466246892067</v>
          </cell>
          <cell r="AY16">
            <v>1.8588763986386199</v>
          </cell>
          <cell r="AZ16">
            <v>1.8308673583578408</v>
          </cell>
          <cell r="BA16">
            <v>1.8958819785729977</v>
          </cell>
          <cell r="BB16">
            <v>1.8360634076464852</v>
          </cell>
          <cell r="BC16">
            <v>1.8634322550893967</v>
          </cell>
          <cell r="BD16">
            <v>1.857908622242908</v>
          </cell>
          <cell r="BE16">
            <v>1.3235516475162186</v>
          </cell>
          <cell r="BF16">
            <v>1.3235516475162188</v>
          </cell>
          <cell r="BG16">
            <v>1.3235516475162188</v>
          </cell>
          <cell r="BH16">
            <v>1.3235516475162183</v>
          </cell>
          <cell r="BI16">
            <v>1.3235516475162188</v>
          </cell>
          <cell r="BJ16">
            <v>1.3235516475162186</v>
          </cell>
          <cell r="BK16">
            <v>1.3205966302630046</v>
          </cell>
          <cell r="BL16">
            <v>1.3235516475162186</v>
          </cell>
          <cell r="BM16">
            <v>0.86026006412540057</v>
          </cell>
          <cell r="BN16">
            <v>1.3235516475162186</v>
          </cell>
          <cell r="BO16">
            <v>1.3235516475162186</v>
          </cell>
          <cell r="BP16">
            <v>1.3235516475162186</v>
          </cell>
          <cell r="BQ16">
            <v>1.3235516475162186</v>
          </cell>
          <cell r="BR16">
            <v>1.3235516475162186</v>
          </cell>
          <cell r="BS16">
            <v>1.3235516475162186</v>
          </cell>
          <cell r="BT16">
            <v>1.3235516475162186</v>
          </cell>
          <cell r="BU16">
            <v>1.3235516475162186</v>
          </cell>
          <cell r="BV16">
            <v>1.3474445287763446</v>
          </cell>
          <cell r="BW16">
            <v>1.3196891427082915</v>
          </cell>
          <cell r="BX16">
            <v>1.3435877350374319</v>
          </cell>
          <cell r="BY16">
            <v>1.3196891427082915</v>
          </cell>
          <cell r="BZ16">
            <v>1.3435877350374319</v>
          </cell>
          <cell r="CA16">
            <v>1.3196891427082915</v>
          </cell>
          <cell r="CB16">
            <v>1.3435877350374319</v>
          </cell>
          <cell r="CC16">
            <v>1.3235516475162186</v>
          </cell>
          <cell r="CD16">
            <v>1.3235516475162186</v>
          </cell>
        </row>
        <row r="17">
          <cell r="B17">
            <v>1.7906760278075793</v>
          </cell>
          <cell r="C17">
            <v>1.9967951302384517</v>
          </cell>
          <cell r="D17">
            <v>2.0280341509147344</v>
          </cell>
          <cell r="E17">
            <v>1.7309401184255926</v>
          </cell>
          <cell r="F17">
            <v>1.7309401184255926</v>
          </cell>
          <cell r="G17">
            <v>1.7309401184255926</v>
          </cell>
          <cell r="H17">
            <v>2.5095377867460709</v>
          </cell>
          <cell r="I17">
            <v>2.0619250983298691</v>
          </cell>
          <cell r="J17">
            <v>2.0374769396216852</v>
          </cell>
          <cell r="K17">
            <v>2.0619250983298691</v>
          </cell>
          <cell r="L17">
            <v>1.6537570791943186</v>
          </cell>
          <cell r="M17">
            <v>2.0374769396216852</v>
          </cell>
          <cell r="N17">
            <v>1.7309401184255926</v>
          </cell>
          <cell r="O17">
            <v>2.0280341509147344</v>
          </cell>
          <cell r="P17">
            <v>2.0280341509147344</v>
          </cell>
          <cell r="Q17">
            <v>1.7309401184255926</v>
          </cell>
          <cell r="R17">
            <v>2.0374769396216852</v>
          </cell>
          <cell r="S17">
            <v>2.0374769396216852</v>
          </cell>
          <cell r="T17">
            <v>1.6537570791943186</v>
          </cell>
          <cell r="U17">
            <v>1.9967951302384517</v>
          </cell>
          <cell r="V17">
            <v>2.5095377867460709</v>
          </cell>
          <cell r="W17">
            <v>2.0280341509147344</v>
          </cell>
          <cell r="X17">
            <v>2.0280341509147344</v>
          </cell>
          <cell r="Y17">
            <v>2.0280341509147344</v>
          </cell>
          <cell r="Z17">
            <v>2.0374769396216852</v>
          </cell>
          <cell r="AA17">
            <v>1.9902922474813229</v>
          </cell>
          <cell r="AB17">
            <v>1.9837870908534714</v>
          </cell>
          <cell r="AC17">
            <v>1.9967951302384517</v>
          </cell>
          <cell r="AD17">
            <v>2.0280341509147344</v>
          </cell>
          <cell r="AE17">
            <v>2.0374769396216852</v>
          </cell>
          <cell r="AF17">
            <v>2.0374769396216852</v>
          </cell>
          <cell r="AG17">
            <v>1.6537570791943186</v>
          </cell>
          <cell r="AH17">
            <v>1.9967951302384517</v>
          </cell>
          <cell r="AI17">
            <v>2.0374769396216852</v>
          </cell>
          <cell r="AJ17">
            <v>2.0374769396216852</v>
          </cell>
          <cell r="AK17">
            <v>1.6537570791943186</v>
          </cell>
          <cell r="AL17">
            <v>2.0280341509147344</v>
          </cell>
          <cell r="AM17">
            <v>1.9967951302384517</v>
          </cell>
          <cell r="AN17">
            <v>2.0280341509147344</v>
          </cell>
          <cell r="AO17">
            <v>1.7309401184255926</v>
          </cell>
          <cell r="AP17">
            <v>1.7309401184255926</v>
          </cell>
          <cell r="AQ17">
            <v>1.7309401184255926</v>
          </cell>
          <cell r="AR17">
            <v>1.8129598304071652</v>
          </cell>
          <cell r="AS17">
            <v>2.0102645692247263</v>
          </cell>
          <cell r="AT17">
            <v>2.0140732458103088</v>
          </cell>
          <cell r="AU17">
            <v>1.9664056127166625</v>
          </cell>
          <cell r="AV17">
            <v>1.9770781586240571</v>
          </cell>
          <cell r="AW17">
            <v>2.0195311804312408</v>
          </cell>
          <cell r="AX17">
            <v>2.025037262195756</v>
          </cell>
          <cell r="AY17">
            <v>2.0280341509147344</v>
          </cell>
          <cell r="AZ17">
            <v>1.9970204676987755</v>
          </cell>
          <cell r="BA17">
            <v>2.0111394692255731</v>
          </cell>
          <cell r="BB17">
            <v>1.9529743779156936</v>
          </cell>
          <cell r="BC17">
            <v>2.0211347952250032</v>
          </cell>
          <cell r="BD17">
            <v>2.025305554702403</v>
          </cell>
          <cell r="BE17">
            <v>1.3486991288190264</v>
          </cell>
          <cell r="BF17">
            <v>1.3486991288190266</v>
          </cell>
          <cell r="BG17">
            <v>1.3486991288190266</v>
          </cell>
          <cell r="BH17">
            <v>1.3486991288190266</v>
          </cell>
          <cell r="BI17">
            <v>1.3486991288190266</v>
          </cell>
          <cell r="BJ17">
            <v>1.3486991288190264</v>
          </cell>
          <cell r="BK17">
            <v>1.3582336342255001</v>
          </cell>
          <cell r="BL17">
            <v>1.3486991288190266</v>
          </cell>
          <cell r="BM17">
            <v>0.75356252226576392</v>
          </cell>
          <cell r="BN17">
            <v>1.3486991288190266</v>
          </cell>
          <cell r="BO17">
            <v>1.3486991288190266</v>
          </cell>
          <cell r="BP17">
            <v>1.3486991288190266</v>
          </cell>
          <cell r="BQ17">
            <v>1.3486991288190264</v>
          </cell>
          <cell r="BR17">
            <v>1.3486991288190264</v>
          </cell>
          <cell r="BS17">
            <v>1.3486991288190264</v>
          </cell>
          <cell r="BT17">
            <v>1.3486991288190264</v>
          </cell>
          <cell r="BU17">
            <v>1.3486991288190264</v>
          </cell>
          <cell r="BV17">
            <v>1.3811306419957532</v>
          </cell>
          <cell r="BW17">
            <v>1.3447632364197488</v>
          </cell>
          <cell r="BX17">
            <v>1.3760771514126235</v>
          </cell>
          <cell r="BY17">
            <v>1.3447632364197488</v>
          </cell>
          <cell r="BZ17">
            <v>1.3760771514126235</v>
          </cell>
          <cell r="CA17">
            <v>1.3447632364197488</v>
          </cell>
          <cell r="CB17">
            <v>1.3760771514126235</v>
          </cell>
          <cell r="CC17">
            <v>1.3486991288190266</v>
          </cell>
          <cell r="CD17">
            <v>1.3486991288190266</v>
          </cell>
        </row>
        <row r="18">
          <cell r="B18">
            <v>1.9803086191524022</v>
          </cell>
          <cell r="C18">
            <v>2.2082557345307041</v>
          </cell>
          <cell r="D18">
            <v>2.2428029674966048</v>
          </cell>
          <cell r="E18">
            <v>1.9351910523998126</v>
          </cell>
          <cell r="F18">
            <v>1.9351910523998126</v>
          </cell>
          <cell r="G18">
            <v>1.9144197709787056</v>
          </cell>
          <cell r="H18">
            <v>2.8056632455821076</v>
          </cell>
          <cell r="I18">
            <v>2.266055683064526</v>
          </cell>
          <cell r="J18">
            <v>2.1831565408046356</v>
          </cell>
          <cell r="K18">
            <v>2.266055683064526</v>
          </cell>
          <cell r="L18">
            <v>1.7759697273467789</v>
          </cell>
          <cell r="M18">
            <v>2.1831565408046356</v>
          </cell>
          <cell r="N18">
            <v>1.9144197709787056</v>
          </cell>
          <cell r="O18">
            <v>2.2428029674966048</v>
          </cell>
          <cell r="P18">
            <v>2.2428029674966048</v>
          </cell>
          <cell r="Q18">
            <v>1.9351910523998126</v>
          </cell>
          <cell r="R18">
            <v>2.1831565408046356</v>
          </cell>
          <cell r="S18">
            <v>2.1831565408046356</v>
          </cell>
          <cell r="T18">
            <v>1.7759697273467789</v>
          </cell>
          <cell r="U18">
            <v>2.2082557345307041</v>
          </cell>
          <cell r="V18">
            <v>2.8056632455821076</v>
          </cell>
          <cell r="W18">
            <v>2.2428029674966048</v>
          </cell>
          <cell r="X18">
            <v>2.2428029674966048</v>
          </cell>
          <cell r="Y18">
            <v>2.2428029674966048</v>
          </cell>
          <cell r="Z18">
            <v>2.1831565408046356</v>
          </cell>
          <cell r="AA18">
            <v>2.1262292079842973</v>
          </cell>
          <cell r="AB18">
            <v>3.6999082288161507</v>
          </cell>
          <cell r="AC18">
            <v>2.2082557345307041</v>
          </cell>
          <cell r="AD18">
            <v>2.2428029674966048</v>
          </cell>
          <cell r="AE18">
            <v>2.1831565408046356</v>
          </cell>
          <cell r="AF18">
            <v>2.1831565408046356</v>
          </cell>
          <cell r="AG18">
            <v>1.7759697273467789</v>
          </cell>
          <cell r="AH18">
            <v>2.2082557345307041</v>
          </cell>
          <cell r="AI18">
            <v>2.1831565408046356</v>
          </cell>
          <cell r="AJ18">
            <v>2.1831565408046356</v>
          </cell>
          <cell r="AK18">
            <v>1.7759697273467789</v>
          </cell>
          <cell r="AL18">
            <v>2.2428029674966048</v>
          </cell>
          <cell r="AM18">
            <v>2.2082557345307041</v>
          </cell>
          <cell r="AN18">
            <v>2.2428029674966048</v>
          </cell>
          <cell r="AO18">
            <v>1.9144197709787056</v>
          </cell>
          <cell r="AP18">
            <v>1.9144197709787056</v>
          </cell>
          <cell r="AQ18">
            <v>1.9144197709787056</v>
          </cell>
          <cell r="AR18">
            <v>1.9971471217854151</v>
          </cell>
          <cell r="AS18">
            <v>2.4522093308561663</v>
          </cell>
          <cell r="AT18">
            <v>2.1897413588133223</v>
          </cell>
          <cell r="AU18">
            <v>2.1078479099397796</v>
          </cell>
          <cell r="AV18">
            <v>2.119159873887202</v>
          </cell>
          <cell r="AW18">
            <v>2.5160685322987093</v>
          </cell>
          <cell r="AX18">
            <v>2.2288289121140878</v>
          </cell>
          <cell r="AY18">
            <v>2.2428029674966048</v>
          </cell>
          <cell r="AZ18">
            <v>2.2031110836701107</v>
          </cell>
          <cell r="BA18">
            <v>2.1552545057671271</v>
          </cell>
          <cell r="BB18">
            <v>2.093610406438656</v>
          </cell>
          <cell r="BC18">
            <v>2.2509333439350643</v>
          </cell>
          <cell r="BD18">
            <v>2.2752436260225624</v>
          </cell>
          <cell r="BE18">
            <v>1.375673111395407</v>
          </cell>
          <cell r="BF18">
            <v>1.3756731113954073</v>
          </cell>
          <cell r="BG18">
            <v>1.3756731113954073</v>
          </cell>
          <cell r="BH18">
            <v>1.3756731113954073</v>
          </cell>
          <cell r="BI18">
            <v>1.3756731113954073</v>
          </cell>
          <cell r="BJ18">
            <v>1.375673111395407</v>
          </cell>
          <cell r="BK18">
            <v>1.3915103582640249</v>
          </cell>
          <cell r="BL18">
            <v>1.3756731113954073</v>
          </cell>
          <cell r="BM18">
            <v>0.7957620235126468</v>
          </cell>
          <cell r="BN18">
            <v>1.3756731113954073</v>
          </cell>
          <cell r="BO18">
            <v>1.3756731113954073</v>
          </cell>
          <cell r="BP18">
            <v>1.3756731113954073</v>
          </cell>
          <cell r="BQ18">
            <v>1.375673111395407</v>
          </cell>
          <cell r="BR18">
            <v>1.375673111395407</v>
          </cell>
          <cell r="BS18">
            <v>1.375673111395407</v>
          </cell>
          <cell r="BT18">
            <v>1.375673111395407</v>
          </cell>
          <cell r="BU18">
            <v>1.375673111395407</v>
          </cell>
          <cell r="BV18">
            <v>1.4149683427246493</v>
          </cell>
          <cell r="BW18">
            <v>1.3716585011481439</v>
          </cell>
          <cell r="BX18">
            <v>1.4135358613911437</v>
          </cell>
          <cell r="BY18">
            <v>1.3716585011481439</v>
          </cell>
          <cell r="BZ18">
            <v>1.4135358613911437</v>
          </cell>
          <cell r="CA18">
            <v>1.3716585011481439</v>
          </cell>
          <cell r="CB18">
            <v>1.4135358613911437</v>
          </cell>
          <cell r="CC18">
            <v>1.3756731113954073</v>
          </cell>
          <cell r="CD18">
            <v>1.3756731113954073</v>
          </cell>
        </row>
        <row r="19">
          <cell r="B19">
            <v>2.1904193636444722</v>
          </cell>
          <cell r="C19">
            <v>2.4425516679644121</v>
          </cell>
          <cell r="D19">
            <v>2.4807643623479949</v>
          </cell>
          <cell r="E19">
            <v>2.1596732144781909</v>
          </cell>
          <cell r="F19">
            <v>2.1596732144781909</v>
          </cell>
          <cell r="G19">
            <v>2.1173482667024488</v>
          </cell>
          <cell r="H19">
            <v>3.1311201820696324</v>
          </cell>
          <cell r="I19">
            <v>2.4835970286387208</v>
          </cell>
          <cell r="J19">
            <v>2.5294051681762508</v>
          </cell>
          <cell r="K19">
            <v>2.4835970286387208</v>
          </cell>
          <cell r="L19">
            <v>2.2034456407191483</v>
          </cell>
          <cell r="M19">
            <v>2.5294051681762508</v>
          </cell>
          <cell r="N19">
            <v>2.1173482667024488</v>
          </cell>
          <cell r="O19">
            <v>2.4807643623479949</v>
          </cell>
          <cell r="P19">
            <v>2.4807643623479949</v>
          </cell>
          <cell r="Q19">
            <v>2.1596732144781909</v>
          </cell>
          <cell r="R19">
            <v>2.5294051681762508</v>
          </cell>
          <cell r="S19">
            <v>2.5294051681762508</v>
          </cell>
          <cell r="T19">
            <v>2.2034456407191483</v>
          </cell>
          <cell r="U19">
            <v>2.4425516679644121</v>
          </cell>
          <cell r="V19">
            <v>3.1311201820696324</v>
          </cell>
          <cell r="W19">
            <v>2.4807643623479949</v>
          </cell>
          <cell r="X19">
            <v>2.4807643623479949</v>
          </cell>
          <cell r="Y19">
            <v>2.4807643623479949</v>
          </cell>
          <cell r="Z19">
            <v>2.5294051681762508</v>
          </cell>
          <cell r="AA19">
            <v>2.3112111490789311</v>
          </cell>
          <cell r="AB19">
            <v>4.284796573875802</v>
          </cell>
          <cell r="AC19">
            <v>2.4425516679644121</v>
          </cell>
          <cell r="AD19">
            <v>2.4807643623479949</v>
          </cell>
          <cell r="AE19">
            <v>2.5294051681762508</v>
          </cell>
          <cell r="AF19">
            <v>2.5294051681762508</v>
          </cell>
          <cell r="AG19">
            <v>2.2034456407191483</v>
          </cell>
          <cell r="AH19">
            <v>2.4425516679644121</v>
          </cell>
          <cell r="AI19">
            <v>2.5294051681762508</v>
          </cell>
          <cell r="AJ19">
            <v>2.5294051681762508</v>
          </cell>
          <cell r="AK19">
            <v>2.2034456407191483</v>
          </cell>
          <cell r="AL19">
            <v>2.4807643623479949</v>
          </cell>
          <cell r="AM19">
            <v>2.4425516679644121</v>
          </cell>
          <cell r="AN19">
            <v>2.4807643623479949</v>
          </cell>
          <cell r="AO19">
            <v>2.1173482667024488</v>
          </cell>
          <cell r="AP19">
            <v>2.1173482667024488</v>
          </cell>
          <cell r="AQ19">
            <v>2.1173482667024488</v>
          </cell>
          <cell r="AR19">
            <v>2.204676770508859</v>
          </cell>
          <cell r="AS19">
            <v>2.7148208316937685</v>
          </cell>
          <cell r="AT19">
            <v>2.4012947239985993</v>
          </cell>
          <cell r="AU19">
            <v>2.4731120051245719</v>
          </cell>
          <cell r="AV19">
            <v>2.4816816394377148</v>
          </cell>
          <cell r="AW19">
            <v>2.8036594630898852</v>
          </cell>
          <cell r="AX19">
            <v>2.4593477711783995</v>
          </cell>
          <cell r="AY19">
            <v>2.4807643623479949</v>
          </cell>
          <cell r="AZ19">
            <v>2.4338384463599101</v>
          </cell>
          <cell r="BA19">
            <v>2.508756332446743</v>
          </cell>
          <cell r="BB19">
            <v>2.4622686101603417</v>
          </cell>
          <cell r="BC19">
            <v>2.4813993919522219</v>
          </cell>
          <cell r="BD19">
            <v>2.5160807638601823</v>
          </cell>
          <cell r="BE19">
            <v>1.4004352274005243</v>
          </cell>
          <cell r="BF19">
            <v>1.4004352274005247</v>
          </cell>
          <cell r="BG19">
            <v>1.4004352274005247</v>
          </cell>
          <cell r="BH19">
            <v>1.4004352274005245</v>
          </cell>
          <cell r="BI19">
            <v>1.4004352274005247</v>
          </cell>
          <cell r="BJ19">
            <v>1.4004352274005243</v>
          </cell>
          <cell r="BK19">
            <v>1.4311684034745495</v>
          </cell>
          <cell r="BL19">
            <v>1.4004352274005245</v>
          </cell>
          <cell r="BM19">
            <v>0.80610692981831111</v>
          </cell>
          <cell r="BN19">
            <v>1.4004352274005245</v>
          </cell>
          <cell r="BO19">
            <v>1.4004352274005245</v>
          </cell>
          <cell r="BP19">
            <v>1.4004352274005245</v>
          </cell>
          <cell r="BQ19">
            <v>1.4004352274005243</v>
          </cell>
          <cell r="BR19">
            <v>1.4004352274005243</v>
          </cell>
          <cell r="BS19">
            <v>1.4004352274005243</v>
          </cell>
          <cell r="BT19">
            <v>1.4004352274005243</v>
          </cell>
          <cell r="BU19">
            <v>1.4004352274005243</v>
          </cell>
          <cell r="BV19">
            <v>1.4552949404923017</v>
          </cell>
          <cell r="BW19">
            <v>1.3963483541688104</v>
          </cell>
          <cell r="BX19">
            <v>1.453006814230605</v>
          </cell>
          <cell r="BY19">
            <v>1.3963483541688104</v>
          </cell>
          <cell r="BZ19">
            <v>1.453006814230605</v>
          </cell>
          <cell r="CA19">
            <v>1.3963483541688104</v>
          </cell>
          <cell r="CB19">
            <v>1.453006814230605</v>
          </cell>
          <cell r="CC19">
            <v>1.4004352274005245</v>
          </cell>
          <cell r="CD19">
            <v>1.4004352274005245</v>
          </cell>
        </row>
        <row r="20">
          <cell r="B20">
            <v>2.3568912352814522</v>
          </cell>
          <cell r="C20">
            <v>2.6281855947297075</v>
          </cell>
          <cell r="D20">
            <v>2.6693024538864427</v>
          </cell>
          <cell r="E20">
            <v>2.4685064841485724</v>
          </cell>
          <cell r="F20">
            <v>2.4685064841485724</v>
          </cell>
          <cell r="G20">
            <v>2.2782667349718349</v>
          </cell>
          <cell r="H20">
            <v>3.5788703681055898</v>
          </cell>
          <cell r="I20">
            <v>2.6698668057866248</v>
          </cell>
          <cell r="J20">
            <v>2.8761866167332149</v>
          </cell>
          <cell r="K20">
            <v>2.6698668057866248</v>
          </cell>
          <cell r="L20">
            <v>2.3709075094138039</v>
          </cell>
          <cell r="M20">
            <v>2.8761866167332149</v>
          </cell>
          <cell r="N20">
            <v>2.2782667349718349</v>
          </cell>
          <cell r="O20">
            <v>2.6693024538864427</v>
          </cell>
          <cell r="P20">
            <v>2.6693024538864427</v>
          </cell>
          <cell r="Q20">
            <v>2.4685064841485724</v>
          </cell>
          <cell r="R20">
            <v>2.8761866167332149</v>
          </cell>
          <cell r="S20">
            <v>2.8761866167332149</v>
          </cell>
          <cell r="T20">
            <v>2.3709075094138039</v>
          </cell>
          <cell r="U20">
            <v>2.6281855947297075</v>
          </cell>
          <cell r="V20">
            <v>3.5788703681055898</v>
          </cell>
          <cell r="W20">
            <v>2.6693024538864427</v>
          </cell>
          <cell r="X20">
            <v>2.6693024538864427</v>
          </cell>
          <cell r="Y20">
            <v>2.6693024538864427</v>
          </cell>
          <cell r="Z20">
            <v>2.8761866167332149</v>
          </cell>
          <cell r="AA20">
            <v>2.4380966411633644</v>
          </cell>
          <cell r="AB20">
            <v>4.7678189048638719</v>
          </cell>
          <cell r="AC20">
            <v>2.6281855947297075</v>
          </cell>
          <cell r="AD20">
            <v>2.6693024538864427</v>
          </cell>
          <cell r="AE20">
            <v>2.8761866167332149</v>
          </cell>
          <cell r="AF20">
            <v>2.8761866167332149</v>
          </cell>
          <cell r="AG20">
            <v>2.3709075094138039</v>
          </cell>
          <cell r="AH20">
            <v>2.6281855947297075</v>
          </cell>
          <cell r="AI20">
            <v>2.8761866167332149</v>
          </cell>
          <cell r="AJ20">
            <v>2.8761866167332149</v>
          </cell>
          <cell r="AK20">
            <v>2.3709075094138039</v>
          </cell>
          <cell r="AL20">
            <v>2.6693024538864427</v>
          </cell>
          <cell r="AM20">
            <v>2.6281855947297075</v>
          </cell>
          <cell r="AN20">
            <v>2.6693024538864427</v>
          </cell>
          <cell r="AO20">
            <v>2.2782667349718349</v>
          </cell>
          <cell r="AP20">
            <v>2.2782667349718349</v>
          </cell>
          <cell r="AQ20">
            <v>2.2782667349718349</v>
          </cell>
          <cell r="AR20">
            <v>2.3672872693986551</v>
          </cell>
          <cell r="AS20">
            <v>2.910746057641461</v>
          </cell>
          <cell r="AT20">
            <v>2.5597514803105552</v>
          </cell>
          <cell r="AU20">
            <v>2.7896758073580483</v>
          </cell>
          <cell r="AV20">
            <v>2.7988918496845185</v>
          </cell>
          <cell r="AW20">
            <v>3.0312021588767162</v>
          </cell>
          <cell r="AX20">
            <v>2.6389932884718967</v>
          </cell>
          <cell r="AY20">
            <v>2.6693024538864427</v>
          </cell>
          <cell r="AZ20">
            <v>2.615121217748722</v>
          </cell>
          <cell r="BA20">
            <v>2.8425900148389669</v>
          </cell>
          <cell r="BB20">
            <v>2.7678009342401149</v>
          </cell>
          <cell r="BC20">
            <v>2.6586260855310515</v>
          </cell>
          <cell r="BD20">
            <v>2.7051844227475552</v>
          </cell>
          <cell r="BE20">
            <v>1.4102382739923278</v>
          </cell>
          <cell r="BF20">
            <v>1.410238273992328</v>
          </cell>
          <cell r="BG20">
            <v>1.410238273992328</v>
          </cell>
          <cell r="BH20">
            <v>1.410238273992328</v>
          </cell>
          <cell r="BI20">
            <v>1.410238273992328</v>
          </cell>
          <cell r="BJ20">
            <v>1.4102382739923278</v>
          </cell>
          <cell r="BK20">
            <v>1.4719567029735743</v>
          </cell>
          <cell r="BL20">
            <v>1.4102382739923283</v>
          </cell>
          <cell r="BM20">
            <v>0.9649099949925185</v>
          </cell>
          <cell r="BN20">
            <v>1.4102382739923283</v>
          </cell>
          <cell r="BO20">
            <v>1.4102382739923283</v>
          </cell>
          <cell r="BP20">
            <v>1.4102382739923283</v>
          </cell>
          <cell r="BQ20">
            <v>1.4102382739923278</v>
          </cell>
          <cell r="BR20">
            <v>1.4102382739923278</v>
          </cell>
          <cell r="BS20">
            <v>1.4102382739923278</v>
          </cell>
          <cell r="BT20">
            <v>1.4102382739923278</v>
          </cell>
          <cell r="BU20">
            <v>1.4102382739923278</v>
          </cell>
          <cell r="BV20">
            <v>1.4967708462963321</v>
          </cell>
          <cell r="BW20">
            <v>1.406122792647992</v>
          </cell>
          <cell r="BX20">
            <v>1.492719037193001</v>
          </cell>
          <cell r="BY20">
            <v>1.406122792647992</v>
          </cell>
          <cell r="BZ20">
            <v>1.492719037193001</v>
          </cell>
          <cell r="CA20">
            <v>1.406122792647992</v>
          </cell>
          <cell r="CB20">
            <v>1.492719037193001</v>
          </cell>
          <cell r="CC20">
            <v>1.4102382739923283</v>
          </cell>
          <cell r="CD20">
            <v>1.4102382739923283</v>
          </cell>
        </row>
        <row r="21">
          <cell r="B21">
            <v>2.4723789058102432</v>
          </cell>
          <cell r="C21">
            <v>2.7569666888714628</v>
          </cell>
          <cell r="D21">
            <v>2.8000982741268783</v>
          </cell>
          <cell r="E21">
            <v>2.6906720677219442</v>
          </cell>
          <cell r="F21">
            <v>2.6906720677219442</v>
          </cell>
          <cell r="G21">
            <v>2.3899018049854548</v>
          </cell>
          <cell r="H21">
            <v>3.9009687012350933</v>
          </cell>
          <cell r="I21">
            <v>2.7713217444065168</v>
          </cell>
          <cell r="J21">
            <v>2.9912340814025438</v>
          </cell>
          <cell r="K21">
            <v>2.7713217444065168</v>
          </cell>
          <cell r="L21">
            <v>2.4870819773750803</v>
          </cell>
          <cell r="M21">
            <v>2.9912340814025438</v>
          </cell>
          <cell r="N21">
            <v>2.3899018049854548</v>
          </cell>
          <cell r="O21">
            <v>2.8000982741268783</v>
          </cell>
          <cell r="P21">
            <v>2.8000982741268783</v>
          </cell>
          <cell r="Q21">
            <v>2.6906720677219442</v>
          </cell>
          <cell r="R21">
            <v>2.9912340814025438</v>
          </cell>
          <cell r="S21">
            <v>2.9912340814025438</v>
          </cell>
          <cell r="T21">
            <v>2.4870819773750803</v>
          </cell>
          <cell r="U21">
            <v>2.7569666888714628</v>
          </cell>
          <cell r="V21">
            <v>3.9009687012350933</v>
          </cell>
          <cell r="W21">
            <v>2.8000982741268783</v>
          </cell>
          <cell r="X21">
            <v>2.8000982741268783</v>
          </cell>
          <cell r="Y21">
            <v>2.8000982741268783</v>
          </cell>
          <cell r="Z21">
            <v>2.9912340814025438</v>
          </cell>
          <cell r="AA21">
            <v>2.5429347967333888</v>
          </cell>
          <cell r="AB21">
            <v>4.296420923829916</v>
          </cell>
          <cell r="AC21">
            <v>2.7569666888714628</v>
          </cell>
          <cell r="AD21">
            <v>2.8000982741268783</v>
          </cell>
          <cell r="AE21">
            <v>2.9912340814025438</v>
          </cell>
          <cell r="AF21">
            <v>2.9912340814025438</v>
          </cell>
          <cell r="AG21">
            <v>2.4870819773750803</v>
          </cell>
          <cell r="AH21">
            <v>2.7569666888714628</v>
          </cell>
          <cell r="AI21">
            <v>2.9912340814025438</v>
          </cell>
          <cell r="AJ21">
            <v>2.9912340814025438</v>
          </cell>
          <cell r="AK21">
            <v>2.4870819773750803</v>
          </cell>
          <cell r="AL21">
            <v>2.8000982741268783</v>
          </cell>
          <cell r="AM21">
            <v>2.7569666888714628</v>
          </cell>
          <cell r="AN21">
            <v>2.8000982741268783</v>
          </cell>
          <cell r="AO21">
            <v>2.3899018049854548</v>
          </cell>
          <cell r="AP21">
            <v>2.3899018049854548</v>
          </cell>
          <cell r="AQ21">
            <v>2.3899018049854548</v>
          </cell>
          <cell r="AR21">
            <v>2.4831096397987076</v>
          </cell>
          <cell r="AS21">
            <v>2.9850811242534339</v>
          </cell>
          <cell r="AT21">
            <v>2.677825648793136</v>
          </cell>
          <cell r="AU21">
            <v>2.9053527833535382</v>
          </cell>
          <cell r="AV21">
            <v>2.9146731630539096</v>
          </cell>
          <cell r="AW21">
            <v>3.0937145171110059</v>
          </cell>
          <cell r="AX21">
            <v>2.7660872052447032</v>
          </cell>
          <cell r="AY21">
            <v>2.8000982741268783</v>
          </cell>
          <cell r="AZ21">
            <v>2.7421350334011407</v>
          </cell>
          <cell r="BA21">
            <v>2.9579821139013398</v>
          </cell>
          <cell r="BB21">
            <v>2.8838188460006577</v>
          </cell>
          <cell r="BC21">
            <v>2.7757571006093587</v>
          </cell>
          <cell r="BD21">
            <v>2.8253561286011757</v>
          </cell>
          <cell r="BE21">
            <v>1.4215201801842665</v>
          </cell>
          <cell r="BF21">
            <v>1.4215201801842667</v>
          </cell>
          <cell r="BG21">
            <v>1.4215201801842667</v>
          </cell>
          <cell r="BH21">
            <v>1.4215201801842667</v>
          </cell>
          <cell r="BI21">
            <v>1.4215201801842667</v>
          </cell>
          <cell r="BJ21">
            <v>1.4215201801842665</v>
          </cell>
          <cell r="BK21">
            <v>1.522003230874676</v>
          </cell>
          <cell r="BL21">
            <v>1.421520180184267</v>
          </cell>
          <cell r="BM21">
            <v>0.87999791543317685</v>
          </cell>
          <cell r="BN21">
            <v>1.421520180184267</v>
          </cell>
          <cell r="BO21">
            <v>1.421520180184267</v>
          </cell>
          <cell r="BP21">
            <v>1.421520180184267</v>
          </cell>
          <cell r="BQ21">
            <v>1.4215201801842665</v>
          </cell>
          <cell r="BR21">
            <v>1.4215201801842665</v>
          </cell>
          <cell r="BS21">
            <v>1.4215201801842665</v>
          </cell>
          <cell r="BT21">
            <v>1.4215201801842665</v>
          </cell>
          <cell r="BU21">
            <v>1.4215201801842665</v>
          </cell>
          <cell r="BV21">
            <v>1.5476610550704075</v>
          </cell>
          <cell r="BW21">
            <v>1.4173717749891759</v>
          </cell>
          <cell r="BX21">
            <v>1.5414031414766876</v>
          </cell>
          <cell r="BY21">
            <v>1.4173717749891759</v>
          </cell>
          <cell r="BZ21">
            <v>1.5414031414766876</v>
          </cell>
          <cell r="CA21">
            <v>1.4173717749891759</v>
          </cell>
          <cell r="CB21">
            <v>1.5414031414766876</v>
          </cell>
          <cell r="CC21">
            <v>1.421520180184267</v>
          </cell>
          <cell r="CD21">
            <v>1.421520180184267</v>
          </cell>
        </row>
        <row r="22">
          <cell r="B22">
            <v>2.5663293042310324</v>
          </cell>
          <cell r="C22">
            <v>2.8617314230485786</v>
          </cell>
          <cell r="D22">
            <v>2.9065020085436997</v>
          </cell>
          <cell r="E22">
            <v>2.9059258331396998</v>
          </cell>
          <cell r="F22">
            <v>2.9059258331396998</v>
          </cell>
          <cell r="G22">
            <v>2.4807180735749021</v>
          </cell>
          <cell r="H22">
            <v>4.0179977622721461</v>
          </cell>
          <cell r="I22">
            <v>2.8710893272051514</v>
          </cell>
          <cell r="J22">
            <v>3.0809711038446204</v>
          </cell>
          <cell r="K22">
            <v>2.8710893272051514</v>
          </cell>
          <cell r="L22">
            <v>2.5815910925153336</v>
          </cell>
          <cell r="M22">
            <v>3.0809711038446204</v>
          </cell>
          <cell r="N22">
            <v>2.4807180735749021</v>
          </cell>
          <cell r="O22">
            <v>2.9065020085436997</v>
          </cell>
          <cell r="P22">
            <v>2.9065020085436997</v>
          </cell>
          <cell r="Q22">
            <v>2.9059258331396998</v>
          </cell>
          <cell r="R22">
            <v>3.0809711038446204</v>
          </cell>
          <cell r="S22">
            <v>3.0809711038446204</v>
          </cell>
          <cell r="T22">
            <v>2.5815910925153336</v>
          </cell>
          <cell r="U22">
            <v>2.8617314230485786</v>
          </cell>
          <cell r="V22">
            <v>4.0179977622721461</v>
          </cell>
          <cell r="W22">
            <v>2.9065020085436997</v>
          </cell>
          <cell r="X22">
            <v>2.9065020085436997</v>
          </cell>
          <cell r="Y22">
            <v>2.9065020085436997</v>
          </cell>
          <cell r="Z22">
            <v>3.0809711038446204</v>
          </cell>
          <cell r="AA22">
            <v>2.6192228406353908</v>
          </cell>
          <cell r="AB22">
            <v>3.7029672682777597</v>
          </cell>
          <cell r="AC22">
            <v>2.8617314230485786</v>
          </cell>
          <cell r="AD22">
            <v>2.9065020085436997</v>
          </cell>
          <cell r="AE22">
            <v>3.0809711038446204</v>
          </cell>
          <cell r="AF22">
            <v>3.0809711038446204</v>
          </cell>
          <cell r="AG22">
            <v>2.5815910925153336</v>
          </cell>
          <cell r="AH22">
            <v>2.8617314230485786</v>
          </cell>
          <cell r="AI22">
            <v>3.0809711038446204</v>
          </cell>
          <cell r="AJ22">
            <v>3.0809711038446204</v>
          </cell>
          <cell r="AK22">
            <v>2.5815910925153336</v>
          </cell>
          <cell r="AL22">
            <v>2.9065020085436997</v>
          </cell>
          <cell r="AM22">
            <v>2.8617314230485786</v>
          </cell>
          <cell r="AN22">
            <v>2.9065020085436997</v>
          </cell>
          <cell r="AO22">
            <v>2.4807180735749021</v>
          </cell>
          <cell r="AP22">
            <v>2.4807180735749021</v>
          </cell>
          <cell r="AQ22">
            <v>2.4807180735749021</v>
          </cell>
          <cell r="AR22">
            <v>2.5772631978767393</v>
          </cell>
          <cell r="AS22">
            <v>3.034300135015179</v>
          </cell>
          <cell r="AT22">
            <v>2.7700885248269143</v>
          </cell>
          <cell r="AU22">
            <v>2.9962461641101967</v>
          </cell>
          <cell r="AV22">
            <v>3.0056545970539892</v>
          </cell>
          <cell r="AW22">
            <v>3.1064884766808269</v>
          </cell>
          <cell r="AX22">
            <v>2.8681005013741281</v>
          </cell>
          <cell r="AY22">
            <v>2.9065020085436997</v>
          </cell>
          <cell r="AZ22">
            <v>2.8447603416027243</v>
          </cell>
          <cell r="BA22">
            <v>3.04828339187452</v>
          </cell>
          <cell r="BB22">
            <v>2.9752474386942627</v>
          </cell>
          <cell r="BC22">
            <v>2.8642845125350491</v>
          </cell>
          <cell r="BD22">
            <v>2.9171047882019279</v>
          </cell>
          <cell r="BE22">
            <v>1.4414214627068462</v>
          </cell>
          <cell r="BF22">
            <v>1.4414214627068465</v>
          </cell>
          <cell r="BG22">
            <v>1.4414214627068465</v>
          </cell>
          <cell r="BH22">
            <v>1.4414214627068467</v>
          </cell>
          <cell r="BI22">
            <v>1.4414214627068465</v>
          </cell>
          <cell r="BJ22">
            <v>1.441421462706846</v>
          </cell>
          <cell r="BK22">
            <v>1.5904933762640363</v>
          </cell>
          <cell r="BL22">
            <v>1.4414214627068467</v>
          </cell>
          <cell r="BM22">
            <v>0.65735844282858313</v>
          </cell>
          <cell r="BN22">
            <v>1.4414214627068467</v>
          </cell>
          <cell r="BO22">
            <v>1.4414214627068467</v>
          </cell>
          <cell r="BP22">
            <v>1.4414214627068467</v>
          </cell>
          <cell r="BQ22">
            <v>1.4414214627068462</v>
          </cell>
          <cell r="BR22">
            <v>1.4414214627068462</v>
          </cell>
          <cell r="BS22">
            <v>1.4414214627068462</v>
          </cell>
          <cell r="BT22">
            <v>1.4414214627068462</v>
          </cell>
          <cell r="BU22">
            <v>1.4414214627068462</v>
          </cell>
          <cell r="BV22">
            <v>1.6126628193833648</v>
          </cell>
          <cell r="BW22">
            <v>1.4372149798390244</v>
          </cell>
          <cell r="BX22">
            <v>1.6038968075613147</v>
          </cell>
          <cell r="BY22">
            <v>1.4372149798390244</v>
          </cell>
          <cell r="BZ22">
            <v>1.6038968075613147</v>
          </cell>
          <cell r="CA22">
            <v>1.4372149798390244</v>
          </cell>
          <cell r="CB22">
            <v>1.6038968075613147</v>
          </cell>
          <cell r="CC22">
            <v>1.4414214627068467</v>
          </cell>
          <cell r="CD22">
            <v>1.4414214627068467</v>
          </cell>
        </row>
        <row r="23">
          <cell r="B23">
            <v>2.6535845005748877</v>
          </cell>
          <cell r="C23">
            <v>2.9590302914322306</v>
          </cell>
          <cell r="D23">
            <v>3.0053230768341854</v>
          </cell>
          <cell r="E23">
            <v>3.0047273114664494</v>
          </cell>
          <cell r="F23">
            <v>3.0047273114664494</v>
          </cell>
          <cell r="G23">
            <v>2.5650624880764488</v>
          </cell>
          <cell r="H23">
            <v>4.1546096861893993</v>
          </cell>
          <cell r="I23">
            <v>2.9313822030764594</v>
          </cell>
          <cell r="J23">
            <v>3.2042099479984052</v>
          </cell>
          <cell r="K23">
            <v>2.9313822030764594</v>
          </cell>
          <cell r="L23">
            <v>2.669365189660855</v>
          </cell>
          <cell r="M23">
            <v>3.2042099479984052</v>
          </cell>
          <cell r="N23">
            <v>2.5650624880764488</v>
          </cell>
          <cell r="O23">
            <v>3.0053230768341854</v>
          </cell>
          <cell r="P23">
            <v>3.0053230768341854</v>
          </cell>
          <cell r="Q23">
            <v>3.0047273114664494</v>
          </cell>
          <cell r="R23">
            <v>3.2042099479984052</v>
          </cell>
          <cell r="S23">
            <v>3.2042099479984052</v>
          </cell>
          <cell r="T23">
            <v>2.669365189660855</v>
          </cell>
          <cell r="U23">
            <v>2.9590302914322306</v>
          </cell>
          <cell r="V23">
            <v>4.1546096861893993</v>
          </cell>
          <cell r="W23">
            <v>3.0053230768341854</v>
          </cell>
          <cell r="X23">
            <v>3.0053230768341854</v>
          </cell>
          <cell r="Y23">
            <v>3.0053230768341854</v>
          </cell>
          <cell r="Z23">
            <v>3.2042099479984052</v>
          </cell>
          <cell r="AA23">
            <v>2.7140387074663921</v>
          </cell>
          <cell r="AB23">
            <v>3.4346895074946455</v>
          </cell>
          <cell r="AC23">
            <v>2.9590302914322306</v>
          </cell>
          <cell r="AD23">
            <v>3.0053230768341854</v>
          </cell>
          <cell r="AE23">
            <v>3.2042099479984052</v>
          </cell>
          <cell r="AF23">
            <v>3.2042099479984052</v>
          </cell>
          <cell r="AG23">
            <v>2.669365189660855</v>
          </cell>
          <cell r="AH23">
            <v>2.9590302914322306</v>
          </cell>
          <cell r="AI23">
            <v>3.2042099479984052</v>
          </cell>
          <cell r="AJ23">
            <v>3.2042099479984052</v>
          </cell>
          <cell r="AK23">
            <v>2.669365189660855</v>
          </cell>
          <cell r="AL23">
            <v>3.0053230768341854</v>
          </cell>
          <cell r="AM23">
            <v>2.9590302914322306</v>
          </cell>
          <cell r="AN23">
            <v>3.0053230768341854</v>
          </cell>
          <cell r="AO23">
            <v>2.5650624880764488</v>
          </cell>
          <cell r="AP23">
            <v>2.5650624880764488</v>
          </cell>
          <cell r="AQ23">
            <v>2.5650624880764488</v>
          </cell>
          <cell r="AR23">
            <v>2.6649439862051993</v>
          </cell>
          <cell r="AS23">
            <v>3.1096919357028021</v>
          </cell>
          <cell r="AT23">
            <v>2.8668048913083632</v>
          </cell>
          <cell r="AU23">
            <v>3.1136604457759351</v>
          </cell>
          <cell r="AV23">
            <v>3.1231419468516268</v>
          </cell>
          <cell r="AW23">
            <v>3.1503432144692196</v>
          </cell>
          <cell r="AX23">
            <v>2.9664992933752719</v>
          </cell>
          <cell r="AY23">
            <v>3.0053230768341854</v>
          </cell>
          <cell r="AZ23">
            <v>2.9419317628778119</v>
          </cell>
          <cell r="BA23">
            <v>3.1690076073263183</v>
          </cell>
          <cell r="BB23">
            <v>3.0904549700153816</v>
          </cell>
          <cell r="BC23">
            <v>2.9562769208947399</v>
          </cell>
          <cell r="BD23">
            <v>3.0083401762580477</v>
          </cell>
          <cell r="BE23">
            <v>1.4673670490355695</v>
          </cell>
          <cell r="BF23">
            <v>1.4673670490355697</v>
          </cell>
          <cell r="BG23">
            <v>1.4673670490355697</v>
          </cell>
          <cell r="BH23">
            <v>1.4673670490355699</v>
          </cell>
          <cell r="BI23">
            <v>1.4673670490355697</v>
          </cell>
          <cell r="BJ23">
            <v>1.4673670490355695</v>
          </cell>
          <cell r="BK23">
            <v>1.6477511378095415</v>
          </cell>
          <cell r="BL23">
            <v>1.4673670490355699</v>
          </cell>
          <cell r="BM23">
            <v>1.0708369033677618</v>
          </cell>
          <cell r="BN23">
            <v>1.4673670490355699</v>
          </cell>
          <cell r="BO23">
            <v>1.4673670490355699</v>
          </cell>
          <cell r="BP23">
            <v>1.4673670490355699</v>
          </cell>
          <cell r="BQ23">
            <v>1.4673670490355695</v>
          </cell>
          <cell r="BR23">
            <v>1.4673670490355695</v>
          </cell>
          <cell r="BS23">
            <v>1.4673670490355695</v>
          </cell>
          <cell r="BT23">
            <v>1.4673670490355695</v>
          </cell>
          <cell r="BU23">
            <v>1.4673670490355695</v>
          </cell>
          <cell r="BV23">
            <v>1.67515350363447</v>
          </cell>
          <cell r="BW23">
            <v>1.4630848494761268</v>
          </cell>
          <cell r="BX23">
            <v>1.6643606118445837</v>
          </cell>
          <cell r="BY23">
            <v>1.4630848494761268</v>
          </cell>
          <cell r="BZ23">
            <v>1.6643606118445837</v>
          </cell>
          <cell r="CA23">
            <v>1.4630848494761268</v>
          </cell>
          <cell r="CB23">
            <v>1.6643606118445837</v>
          </cell>
          <cell r="CC23">
            <v>1.4673670490355699</v>
          </cell>
          <cell r="CD23">
            <v>1.4673670490355699</v>
          </cell>
        </row>
        <row r="24">
          <cell r="B24">
            <v>2.7278848665909847</v>
          </cell>
          <cell r="C24">
            <v>3.0418831395923331</v>
          </cell>
          <cell r="D24">
            <v>3.0894721229855429</v>
          </cell>
          <cell r="E24">
            <v>3.0888596761875102</v>
          </cell>
          <cell r="F24">
            <v>3.0888596761875102</v>
          </cell>
          <cell r="G24">
            <v>2.6368842377425894</v>
          </cell>
          <cell r="H24">
            <v>4.2709387574027025</v>
          </cell>
          <cell r="I24">
            <v>2.97242155391953</v>
          </cell>
          <cell r="J24">
            <v>3.3003362464383574</v>
          </cell>
          <cell r="K24">
            <v>2.97242155391953</v>
          </cell>
          <cell r="L24">
            <v>2.7441074149713591</v>
          </cell>
          <cell r="M24">
            <v>3.3003362464383574</v>
          </cell>
          <cell r="N24">
            <v>2.6368842377425894</v>
          </cell>
          <cell r="O24">
            <v>3.0894721229855429</v>
          </cell>
          <cell r="P24">
            <v>3.0894721229855429</v>
          </cell>
          <cell r="Q24">
            <v>3.0888596761875102</v>
          </cell>
          <cell r="R24">
            <v>3.3003362464383574</v>
          </cell>
          <cell r="S24">
            <v>3.3003362464383574</v>
          </cell>
          <cell r="T24">
            <v>2.7441074149713591</v>
          </cell>
          <cell r="U24">
            <v>3.0418831395923331</v>
          </cell>
          <cell r="V24">
            <v>4.2709387574027025</v>
          </cell>
          <cell r="W24">
            <v>3.0894721229855429</v>
          </cell>
          <cell r="X24">
            <v>3.0894721229855429</v>
          </cell>
          <cell r="Y24">
            <v>3.0894721229855429</v>
          </cell>
          <cell r="Z24">
            <v>3.3003362464383574</v>
          </cell>
          <cell r="AA24">
            <v>2.7140387074663921</v>
          </cell>
          <cell r="AB24">
            <v>2.9761394921994482</v>
          </cell>
          <cell r="AC24">
            <v>3.0418831395923331</v>
          </cell>
          <cell r="AD24">
            <v>3.0894721229855429</v>
          </cell>
          <cell r="AE24">
            <v>3.3003362464383574</v>
          </cell>
          <cell r="AF24">
            <v>3.3003362464383574</v>
          </cell>
          <cell r="AG24">
            <v>2.7441074149713591</v>
          </cell>
          <cell r="AH24">
            <v>3.0418831395923331</v>
          </cell>
          <cell r="AI24">
            <v>3.3003362464383574</v>
          </cell>
          <cell r="AJ24">
            <v>3.3003362464383574</v>
          </cell>
          <cell r="AK24">
            <v>2.7441074149713591</v>
          </cell>
          <cell r="AL24">
            <v>3.0894721229855429</v>
          </cell>
          <cell r="AM24">
            <v>3.0418831395923331</v>
          </cell>
          <cell r="AN24">
            <v>3.0894721229855429</v>
          </cell>
          <cell r="AO24">
            <v>2.6368842377425894</v>
          </cell>
          <cell r="AP24">
            <v>2.6368842377425894</v>
          </cell>
          <cell r="AQ24">
            <v>2.6368842377425894</v>
          </cell>
          <cell r="AR24">
            <v>2.7388304112320965</v>
          </cell>
          <cell r="AS24">
            <v>3.1205923882678706</v>
          </cell>
          <cell r="AT24">
            <v>2.9115929014041226</v>
          </cell>
          <cell r="AU24">
            <v>3.2062517723256034</v>
          </cell>
          <cell r="AV24">
            <v>3.2157009444517</v>
          </cell>
          <cell r="AW24">
            <v>3.1549074481394404</v>
          </cell>
          <cell r="AX24">
            <v>3.0379325963597488</v>
          </cell>
          <cell r="AY24">
            <v>3.0894721229855429</v>
          </cell>
          <cell r="AZ24">
            <v>3.0183886112650851</v>
          </cell>
          <cell r="BA24">
            <v>3.2636785405875846</v>
          </cell>
          <cell r="BB24">
            <v>3.1818088189290363</v>
          </cell>
          <cell r="BC24">
            <v>3.0078547251991301</v>
          </cell>
          <cell r="BD24">
            <v>3.0709868745168487</v>
          </cell>
          <cell r="BE24">
            <v>1.4791059854278541</v>
          </cell>
          <cell r="BF24">
            <v>1.4791059854278543</v>
          </cell>
          <cell r="BG24">
            <v>1.4791059854278543</v>
          </cell>
          <cell r="BH24">
            <v>1.4791059854278545</v>
          </cell>
          <cell r="BI24">
            <v>1.4791059854278543</v>
          </cell>
          <cell r="BJ24">
            <v>1.4791059854278539</v>
          </cell>
          <cell r="BK24">
            <v>1.7177805611664472</v>
          </cell>
          <cell r="BL24">
            <v>1.4791059854278545</v>
          </cell>
          <cell r="BM24">
            <v>1.0601285343340843</v>
          </cell>
          <cell r="BN24">
            <v>1.4791059854278545</v>
          </cell>
          <cell r="BO24">
            <v>1.4791059854278545</v>
          </cell>
          <cell r="BP24">
            <v>1.4791059854278545</v>
          </cell>
          <cell r="BQ24">
            <v>1.4791059854278541</v>
          </cell>
          <cell r="BR24">
            <v>1.4791059854278541</v>
          </cell>
          <cell r="BS24">
            <v>1.4791059854278541</v>
          </cell>
          <cell r="BT24">
            <v>1.4791059854278541</v>
          </cell>
          <cell r="BU24">
            <v>1.4791059854278541</v>
          </cell>
          <cell r="BV24">
            <v>1.7773378673561728</v>
          </cell>
          <cell r="BW24">
            <v>1.4747895282719361</v>
          </cell>
          <cell r="BX24">
            <v>1.7614995716990034</v>
          </cell>
          <cell r="BY24">
            <v>1.4747895282719361</v>
          </cell>
          <cell r="BZ24">
            <v>1.7614995716990034</v>
          </cell>
          <cell r="CA24">
            <v>1.4747895282719361</v>
          </cell>
          <cell r="CB24">
            <v>1.7614995716990034</v>
          </cell>
          <cell r="CC24">
            <v>1.4791059854278545</v>
          </cell>
          <cell r="CD24">
            <v>1.4791059854278545</v>
          </cell>
        </row>
        <row r="25">
          <cell r="B25">
            <v>2.8015377579889411</v>
          </cell>
          <cell r="C25">
            <v>3.1240139843613259</v>
          </cell>
          <cell r="D25">
            <v>3.1728878703061523</v>
          </cell>
          <cell r="E25">
            <v>3.1722588874445727</v>
          </cell>
          <cell r="F25">
            <v>3.1722588874445727</v>
          </cell>
          <cell r="G25">
            <v>2.7080801121616389</v>
          </cell>
          <cell r="H25">
            <v>4.3862541038525746</v>
          </cell>
          <cell r="I25">
            <v>3.0170078772283229</v>
          </cell>
          <cell r="J25">
            <v>3.3745938119832202</v>
          </cell>
          <cell r="K25">
            <v>3.0170078772283229</v>
          </cell>
          <cell r="L25">
            <v>2.8181983151755854</v>
          </cell>
          <cell r="M25">
            <v>3.3745938119832202</v>
          </cell>
          <cell r="N25">
            <v>2.7080801121616389</v>
          </cell>
          <cell r="O25">
            <v>3.1728878703061523</v>
          </cell>
          <cell r="P25">
            <v>3.1728878703061523</v>
          </cell>
          <cell r="Q25">
            <v>3.1722588874445727</v>
          </cell>
          <cell r="R25">
            <v>3.3745938119832202</v>
          </cell>
          <cell r="S25">
            <v>3.3745938119832202</v>
          </cell>
          <cell r="T25">
            <v>2.8181983151755854</v>
          </cell>
          <cell r="U25">
            <v>3.1240139843613259</v>
          </cell>
          <cell r="V25">
            <v>4.3862541038525746</v>
          </cell>
          <cell r="W25">
            <v>3.1728878703061523</v>
          </cell>
          <cell r="X25">
            <v>3.1728878703061523</v>
          </cell>
          <cell r="Y25">
            <v>3.1728878703061523</v>
          </cell>
          <cell r="Z25">
            <v>3.3745938119832202</v>
          </cell>
          <cell r="AA25">
            <v>2.775104578384386</v>
          </cell>
          <cell r="AB25">
            <v>2.7326399510553672</v>
          </cell>
          <cell r="AC25">
            <v>3.1240139843613259</v>
          </cell>
          <cell r="AD25">
            <v>3.1728878703061523</v>
          </cell>
          <cell r="AE25">
            <v>3.3745938119832202</v>
          </cell>
          <cell r="AF25">
            <v>3.3745938119832202</v>
          </cell>
          <cell r="AG25">
            <v>2.8181983151755854</v>
          </cell>
          <cell r="AH25">
            <v>3.1240139843613259</v>
          </cell>
          <cell r="AI25">
            <v>3.3745938119832202</v>
          </cell>
          <cell r="AJ25">
            <v>3.3745938119832202</v>
          </cell>
          <cell r="AK25">
            <v>2.8181983151755854</v>
          </cell>
          <cell r="AL25">
            <v>3.1728878703061523</v>
          </cell>
          <cell r="AM25">
            <v>3.1240139843613259</v>
          </cell>
          <cell r="AN25">
            <v>3.1728878703061523</v>
          </cell>
          <cell r="AO25">
            <v>2.7080801121616389</v>
          </cell>
          <cell r="AP25">
            <v>2.7080801121616389</v>
          </cell>
          <cell r="AQ25">
            <v>2.7080801121616389</v>
          </cell>
          <cell r="AR25">
            <v>2.8126515375442418</v>
          </cell>
          <cell r="AS25">
            <v>3.177384056959883</v>
          </cell>
          <cell r="AT25">
            <v>2.9842407018277135</v>
          </cell>
          <cell r="AU25">
            <v>3.2799559605803164</v>
          </cell>
          <cell r="AV25">
            <v>3.2907230860086658</v>
          </cell>
          <cell r="AW25">
            <v>3.1872000760187804</v>
          </cell>
          <cell r="AX25">
            <v>3.1180428789257553</v>
          </cell>
          <cell r="AY25">
            <v>3.1728878703061523</v>
          </cell>
          <cell r="AZ25">
            <v>3.0987284555048822</v>
          </cell>
          <cell r="BA25">
            <v>3.3380953068307919</v>
          </cell>
          <cell r="BB25">
            <v>3.2565781443650494</v>
          </cell>
          <cell r="BC25">
            <v>3.0802811803484005</v>
          </cell>
          <cell r="BD25">
            <v>3.1440151537224628</v>
          </cell>
          <cell r="BE25">
            <v>1.4938970452821327</v>
          </cell>
          <cell r="BF25">
            <v>1.493897045282133</v>
          </cell>
          <cell r="BG25">
            <v>1.493897045282133</v>
          </cell>
          <cell r="BH25">
            <v>1.4938970452821332</v>
          </cell>
          <cell r="BI25">
            <v>1.493897045282133</v>
          </cell>
          <cell r="BJ25">
            <v>1.4938970452821323</v>
          </cell>
          <cell r="BK25">
            <v>1.7903567898757295</v>
          </cell>
          <cell r="BL25">
            <v>1.493897045282133</v>
          </cell>
          <cell r="BM25">
            <v>0.89050796884063077</v>
          </cell>
          <cell r="BN25">
            <v>1.493897045282133</v>
          </cell>
          <cell r="BO25">
            <v>1.493897045282133</v>
          </cell>
          <cell r="BP25">
            <v>1.493897045282133</v>
          </cell>
          <cell r="BQ25">
            <v>1.4938970452821327</v>
          </cell>
          <cell r="BR25">
            <v>1.4938970452821327</v>
          </cell>
          <cell r="BS25">
            <v>1.4938970452821327</v>
          </cell>
          <cell r="BT25">
            <v>1.4938970452821327</v>
          </cell>
          <cell r="BU25">
            <v>1.4938970452821327</v>
          </cell>
          <cell r="BV25">
            <v>1.8706481053923718</v>
          </cell>
          <cell r="BW25">
            <v>1.4895374235546552</v>
          </cell>
          <cell r="BX25">
            <v>1.8504322485503066</v>
          </cell>
          <cell r="BY25">
            <v>1.4895374235546552</v>
          </cell>
          <cell r="BZ25">
            <v>1.8504322485503066</v>
          </cell>
          <cell r="CA25">
            <v>1.4895374235546552</v>
          </cell>
          <cell r="CB25">
            <v>1.8504322485503066</v>
          </cell>
          <cell r="CC25">
            <v>1.493897045282133</v>
          </cell>
          <cell r="CD25">
            <v>1.493897045282133</v>
          </cell>
        </row>
        <row r="26">
          <cell r="B26">
            <v>2.8855838907286095</v>
          </cell>
          <cell r="C26">
            <v>3.2177344038921656</v>
          </cell>
          <cell r="D26">
            <v>3.2680745064153371</v>
          </cell>
          <cell r="E26">
            <v>3.26742665406791</v>
          </cell>
          <cell r="F26">
            <v>3.26742665406791</v>
          </cell>
          <cell r="G26">
            <v>2.789322515526488</v>
          </cell>
          <cell r="H26">
            <v>4.5178417269681521</v>
          </cell>
          <cell r="I26">
            <v>3.0954500820362592</v>
          </cell>
          <cell r="J26">
            <v>3.4501847133716441</v>
          </cell>
          <cell r="K26">
            <v>3.0954500820362592</v>
          </cell>
          <cell r="L26">
            <v>2.902744264630853</v>
          </cell>
          <cell r="M26">
            <v>3.4501847133716441</v>
          </cell>
          <cell r="N26">
            <v>2.789322515526488</v>
          </cell>
          <cell r="O26">
            <v>3.2680745064153371</v>
          </cell>
          <cell r="P26">
            <v>3.2680745064153371</v>
          </cell>
          <cell r="Q26">
            <v>3.26742665406791</v>
          </cell>
          <cell r="R26">
            <v>3.4501847133716441</v>
          </cell>
          <cell r="S26">
            <v>3.4501847133716441</v>
          </cell>
          <cell r="T26">
            <v>2.902744264630853</v>
          </cell>
          <cell r="U26">
            <v>3.2177344038921656</v>
          </cell>
          <cell r="V26">
            <v>4.5178417269681521</v>
          </cell>
          <cell r="W26">
            <v>3.2680745064153371</v>
          </cell>
          <cell r="X26">
            <v>3.2680745064153371</v>
          </cell>
          <cell r="Y26">
            <v>3.2680745064153371</v>
          </cell>
          <cell r="Z26">
            <v>3.4501847133716441</v>
          </cell>
          <cell r="AA26">
            <v>2.8372669209401962</v>
          </cell>
          <cell r="AB26">
            <v>2.290608748852859</v>
          </cell>
          <cell r="AC26">
            <v>3.2177344038921656</v>
          </cell>
          <cell r="AD26">
            <v>3.2680745064153371</v>
          </cell>
          <cell r="AE26">
            <v>3.4501847133716441</v>
          </cell>
          <cell r="AF26">
            <v>3.4501847133716441</v>
          </cell>
          <cell r="AG26">
            <v>2.902744264630853</v>
          </cell>
          <cell r="AH26">
            <v>3.2177344038921656</v>
          </cell>
          <cell r="AI26">
            <v>3.4501847133716441</v>
          </cell>
          <cell r="AJ26">
            <v>3.4501847133716441</v>
          </cell>
          <cell r="AK26">
            <v>2.902744264630853</v>
          </cell>
          <cell r="AL26">
            <v>3.2680745064153371</v>
          </cell>
          <cell r="AM26">
            <v>3.2177344038921656</v>
          </cell>
          <cell r="AN26">
            <v>3.2680745064153371</v>
          </cell>
          <cell r="AO26">
            <v>2.789322515526488</v>
          </cell>
          <cell r="AP26">
            <v>2.789322515526488</v>
          </cell>
          <cell r="AQ26">
            <v>2.789322515526488</v>
          </cell>
          <cell r="AR26">
            <v>2.8968159351902423</v>
          </cell>
          <cell r="AS26">
            <v>3.2351459283113124</v>
          </cell>
          <cell r="AT26">
            <v>3.0647557286236156</v>
          </cell>
          <cell r="AU26">
            <v>3.3545774901382304</v>
          </cell>
          <cell r="AV26">
            <v>3.3668779014958945</v>
          </cell>
          <cell r="AW26">
            <v>3.2010178919181445</v>
          </cell>
          <cell r="AX26">
            <v>3.2082665676703512</v>
          </cell>
          <cell r="AY26">
            <v>3.2680745064153371</v>
          </cell>
          <cell r="AZ26">
            <v>3.1894092424855973</v>
          </cell>
          <cell r="BA26">
            <v>3.4142864186006721</v>
          </cell>
          <cell r="BB26">
            <v>3.3327147106960551</v>
          </cell>
          <cell r="BC26">
            <v>3.1576258194328752</v>
          </cell>
          <cell r="BD26">
            <v>3.2262336761854282</v>
          </cell>
          <cell r="BE26">
            <v>1.5237749861877754</v>
          </cell>
          <cell r="BF26">
            <v>1.5237749861877756</v>
          </cell>
          <cell r="BG26">
            <v>1.5237749861877756</v>
          </cell>
          <cell r="BH26">
            <v>1.5237749861877758</v>
          </cell>
          <cell r="BI26">
            <v>1.5237749861877756</v>
          </cell>
          <cell r="BJ26">
            <v>1.5237749861877752</v>
          </cell>
          <cell r="BK26">
            <v>1.8637614182606341</v>
          </cell>
          <cell r="BL26">
            <v>1.5237749861877756</v>
          </cell>
          <cell r="BM26">
            <v>0.9644201302544031</v>
          </cell>
          <cell r="BN26">
            <v>1.5237749861877756</v>
          </cell>
          <cell r="BO26">
            <v>1.5237749861877756</v>
          </cell>
          <cell r="BP26">
            <v>1.5237749861877756</v>
          </cell>
          <cell r="BQ26">
            <v>1.5237749861877754</v>
          </cell>
          <cell r="BR26">
            <v>1.5237749861877754</v>
          </cell>
          <cell r="BS26">
            <v>1.5237749861877754</v>
          </cell>
          <cell r="BT26">
            <v>1.5237749861877754</v>
          </cell>
          <cell r="BU26">
            <v>1.5237749861877754</v>
          </cell>
          <cell r="BV26">
            <v>1.9501506498715477</v>
          </cell>
          <cell r="BW26">
            <v>1.5193281720257483</v>
          </cell>
          <cell r="BX26">
            <v>1.9271795249651233</v>
          </cell>
          <cell r="BY26">
            <v>1.5193281720257483</v>
          </cell>
          <cell r="BZ26">
            <v>1.9271795249651233</v>
          </cell>
          <cell r="CA26">
            <v>1.5193281720257483</v>
          </cell>
          <cell r="CB26">
            <v>1.9271795249651233</v>
          </cell>
          <cell r="CC26">
            <v>1.5237749861877756</v>
          </cell>
          <cell r="CD26">
            <v>1.5237749861877756</v>
          </cell>
        </row>
        <row r="27">
          <cell r="B27">
            <v>3.0067784141392111</v>
          </cell>
          <cell r="C27">
            <v>3.3528792488556367</v>
          </cell>
          <cell r="D27">
            <v>3.4053336356847814</v>
          </cell>
          <cell r="E27">
            <v>3.4046585735387622</v>
          </cell>
          <cell r="F27">
            <v>3.4046585735387622</v>
          </cell>
          <cell r="G27">
            <v>2.9064740611786006</v>
          </cell>
          <cell r="H27">
            <v>4.7075910795008147</v>
          </cell>
          <cell r="I27">
            <v>3.1975999347434554</v>
          </cell>
          <cell r="J27">
            <v>3.5737013261103492</v>
          </cell>
          <cell r="K27">
            <v>3.1975999347434554</v>
          </cell>
          <cell r="L27">
            <v>3.0246595237453491</v>
          </cell>
          <cell r="M27">
            <v>3.5737013261103492</v>
          </cell>
          <cell r="N27">
            <v>2.9064740611786006</v>
          </cell>
          <cell r="O27">
            <v>3.4053336356847814</v>
          </cell>
          <cell r="P27">
            <v>3.4053336356847814</v>
          </cell>
          <cell r="Q27">
            <v>3.4046585735387622</v>
          </cell>
          <cell r="R27">
            <v>3.5737013261103492</v>
          </cell>
          <cell r="S27">
            <v>3.5737013261103492</v>
          </cell>
          <cell r="T27">
            <v>3.0246595237453491</v>
          </cell>
          <cell r="U27">
            <v>3.3528792488556367</v>
          </cell>
          <cell r="V27">
            <v>4.7075910795008147</v>
          </cell>
          <cell r="W27">
            <v>3.4053336356847814</v>
          </cell>
          <cell r="X27">
            <v>3.4053336356847814</v>
          </cell>
          <cell r="Y27">
            <v>3.4053336356847814</v>
          </cell>
          <cell r="Z27">
            <v>3.5737013261103492</v>
          </cell>
          <cell r="AA27">
            <v>2.9388410767098554</v>
          </cell>
          <cell r="AB27">
            <v>2.2924441725298248</v>
          </cell>
          <cell r="AC27">
            <v>3.3528792488556367</v>
          </cell>
          <cell r="AD27">
            <v>3.4053336356847814</v>
          </cell>
          <cell r="AE27">
            <v>3.5737013261103492</v>
          </cell>
          <cell r="AF27">
            <v>3.5737013261103492</v>
          </cell>
          <cell r="AG27">
            <v>3.0246595237453491</v>
          </cell>
          <cell r="AH27">
            <v>3.3528792488556367</v>
          </cell>
          <cell r="AI27">
            <v>3.5737013261103492</v>
          </cell>
          <cell r="AJ27">
            <v>3.5737013261103492</v>
          </cell>
          <cell r="AK27">
            <v>3.0246595237453491</v>
          </cell>
          <cell r="AL27">
            <v>3.4053336356847814</v>
          </cell>
          <cell r="AM27">
            <v>3.3528792488556367</v>
          </cell>
          <cell r="AN27">
            <v>3.4053336356847814</v>
          </cell>
          <cell r="AO27">
            <v>2.9064740611786006</v>
          </cell>
          <cell r="AP27">
            <v>2.9064740611786006</v>
          </cell>
          <cell r="AQ27">
            <v>2.9064740611786006</v>
          </cell>
          <cell r="AR27">
            <v>3.0182833666976752</v>
          </cell>
          <cell r="AS27">
            <v>3.356776055654012</v>
          </cell>
          <cell r="AT27">
            <v>3.185464463984867</v>
          </cell>
          <cell r="AU27">
            <v>3.4756384465156547</v>
          </cell>
          <cell r="AV27">
            <v>3.4894990689911407</v>
          </cell>
          <cell r="AW27">
            <v>3.316784816196733</v>
          </cell>
          <cell r="AX27">
            <v>3.3402289881317682</v>
          </cell>
          <cell r="AY27">
            <v>3.4053336356847814</v>
          </cell>
          <cell r="AZ27">
            <v>3.3215528954300466</v>
          </cell>
          <cell r="BA27">
            <v>3.5380490287605895</v>
          </cell>
          <cell r="BB27">
            <v>3.4550564459158997</v>
          </cell>
          <cell r="BC27">
            <v>3.2830340816195855</v>
          </cell>
          <cell r="BD27">
            <v>3.3575740329820207</v>
          </cell>
          <cell r="BE27">
            <v>1.5664406858010331</v>
          </cell>
          <cell r="BF27">
            <v>1.5664406858010331</v>
          </cell>
          <cell r="BG27">
            <v>1.5664406858010331</v>
          </cell>
          <cell r="BH27">
            <v>1.5664406858010336</v>
          </cell>
          <cell r="BI27">
            <v>1.5664406858010331</v>
          </cell>
          <cell r="BJ27">
            <v>1.5664406858010329</v>
          </cell>
          <cell r="BK27">
            <v>1.9317887100271469</v>
          </cell>
          <cell r="BL27">
            <v>1.5664406858010334</v>
          </cell>
          <cell r="BM27">
            <v>1.2826787732383562</v>
          </cell>
          <cell r="BN27">
            <v>1.5664406858010334</v>
          </cell>
          <cell r="BO27">
            <v>1.5664406858010334</v>
          </cell>
          <cell r="BP27">
            <v>1.5664406858010334</v>
          </cell>
          <cell r="BQ27">
            <v>1.5664406858010331</v>
          </cell>
          <cell r="BR27">
            <v>1.5664406858010331</v>
          </cell>
          <cell r="BS27">
            <v>1.5664406858010331</v>
          </cell>
          <cell r="BT27">
            <v>1.5664406858010331</v>
          </cell>
          <cell r="BU27">
            <v>1.5664406858010331</v>
          </cell>
          <cell r="BV27">
            <v>2.0213311485918593</v>
          </cell>
          <cell r="BW27">
            <v>1.5618693608424694</v>
          </cell>
          <cell r="BX27">
            <v>1.9967909493477676</v>
          </cell>
          <cell r="BY27">
            <v>1.5618693608424694</v>
          </cell>
          <cell r="BZ27">
            <v>1.9967909493477676</v>
          </cell>
          <cell r="CA27">
            <v>1.5618693608424694</v>
          </cell>
          <cell r="CB27">
            <v>1.9967909493477676</v>
          </cell>
          <cell r="CC27">
            <v>1.5664406858010334</v>
          </cell>
          <cell r="CD27">
            <v>1.5664406858010334</v>
          </cell>
        </row>
        <row r="28">
          <cell r="B28">
            <v>3.1270495507047795</v>
          </cell>
          <cell r="C28">
            <v>3.4869944188098625</v>
          </cell>
          <cell r="D28">
            <v>3.5415469811121727</v>
          </cell>
          <cell r="E28">
            <v>3.5408449164803129</v>
          </cell>
          <cell r="F28">
            <v>3.5408449164803129</v>
          </cell>
          <cell r="G28">
            <v>3.0227330236257446</v>
          </cell>
          <cell r="H28">
            <v>4.8958947226808478</v>
          </cell>
          <cell r="I28">
            <v>3.2327735340256329</v>
          </cell>
          <cell r="J28">
            <v>3.7066430154416539</v>
          </cell>
          <cell r="K28">
            <v>3.2327735340256329</v>
          </cell>
          <cell r="L28">
            <v>3.1456459046951633</v>
          </cell>
          <cell r="M28">
            <v>3.7066430154416539</v>
          </cell>
          <cell r="N28">
            <v>3.0227330236257446</v>
          </cell>
          <cell r="O28">
            <v>3.5415469811121727</v>
          </cell>
          <cell r="P28">
            <v>3.5415469811121727</v>
          </cell>
          <cell r="Q28">
            <v>3.5408449164803129</v>
          </cell>
          <cell r="R28">
            <v>3.7066430154416539</v>
          </cell>
          <cell r="S28">
            <v>3.7066430154416539</v>
          </cell>
          <cell r="T28">
            <v>3.1456459046951633</v>
          </cell>
          <cell r="U28">
            <v>3.4869944188098625</v>
          </cell>
          <cell r="V28">
            <v>4.8958947226808478</v>
          </cell>
          <cell r="W28">
            <v>3.5415469811121727</v>
          </cell>
          <cell r="X28">
            <v>3.5415469811121727</v>
          </cell>
          <cell r="Y28">
            <v>3.5415469811121727</v>
          </cell>
          <cell r="Z28">
            <v>3.7066430154416539</v>
          </cell>
          <cell r="AA28">
            <v>3.0481659647634616</v>
          </cell>
          <cell r="AB28">
            <v>2.0452737840318131</v>
          </cell>
          <cell r="AC28">
            <v>3.4869944188098625</v>
          </cell>
          <cell r="AD28">
            <v>3.5415469811121727</v>
          </cell>
          <cell r="AE28">
            <v>3.7066430154416539</v>
          </cell>
          <cell r="AF28">
            <v>3.7066430154416539</v>
          </cell>
          <cell r="AG28">
            <v>3.1456459046951633</v>
          </cell>
          <cell r="AH28">
            <v>3.4869944188098625</v>
          </cell>
          <cell r="AI28">
            <v>3.7066430154416539</v>
          </cell>
          <cell r="AJ28">
            <v>3.7066430154416539</v>
          </cell>
          <cell r="AK28">
            <v>3.1456459046951633</v>
          </cell>
          <cell r="AL28">
            <v>3.5415469811121727</v>
          </cell>
          <cell r="AM28">
            <v>3.4869944188098625</v>
          </cell>
          <cell r="AN28">
            <v>3.5415469811121727</v>
          </cell>
          <cell r="AO28">
            <v>3.0227330236257446</v>
          </cell>
          <cell r="AP28">
            <v>3.0227330236257446</v>
          </cell>
          <cell r="AQ28">
            <v>3.0227330236257446</v>
          </cell>
          <cell r="AR28">
            <v>3.1389161620122836</v>
          </cell>
          <cell r="AS28">
            <v>3.4671085391444838</v>
          </cell>
          <cell r="AT28">
            <v>3.3090273406793638</v>
          </cell>
          <cell r="AU28">
            <v>3.605383913587104</v>
          </cell>
          <cell r="AV28">
            <v>3.6203680240125764</v>
          </cell>
          <cell r="AW28">
            <v>3.3880071524616073</v>
          </cell>
          <cell r="AX28">
            <v>3.4725287778936917</v>
          </cell>
          <cell r="AY28">
            <v>3.5415469811121727</v>
          </cell>
          <cell r="AZ28">
            <v>3.4532041247382619</v>
          </cell>
          <cell r="BA28">
            <v>3.6704170371724651</v>
          </cell>
          <cell r="BB28">
            <v>3.5854837557776693</v>
          </cell>
          <cell r="BC28">
            <v>3.4081848682322353</v>
          </cell>
          <cell r="BD28">
            <v>3.4822297002914446</v>
          </cell>
          <cell r="BE28">
            <v>1.6150003470608649</v>
          </cell>
          <cell r="BF28">
            <v>1.6150003470608649</v>
          </cell>
          <cell r="BG28">
            <v>1.6150003470608649</v>
          </cell>
          <cell r="BH28">
            <v>1.6150003470608654</v>
          </cell>
          <cell r="BI28">
            <v>1.6150003470608649</v>
          </cell>
          <cell r="BJ28">
            <v>1.6150003470608647</v>
          </cell>
          <cell r="BK28">
            <v>1.9936059487480156</v>
          </cell>
          <cell r="BL28">
            <v>1.6150003470608651</v>
          </cell>
          <cell r="BM28">
            <v>2.0484380008616547</v>
          </cell>
          <cell r="BN28">
            <v>1.6150003470608651</v>
          </cell>
          <cell r="BO28">
            <v>1.6150003470608651</v>
          </cell>
          <cell r="BP28">
            <v>1.6150003470608651</v>
          </cell>
          <cell r="BQ28">
            <v>1.6150003470608649</v>
          </cell>
          <cell r="BR28">
            <v>1.6150003470608649</v>
          </cell>
          <cell r="BS28">
            <v>1.6150003470608649</v>
          </cell>
          <cell r="BT28">
            <v>1.6150003470608649</v>
          </cell>
          <cell r="BU28">
            <v>1.6150003470608649</v>
          </cell>
          <cell r="BV28">
            <v>2.0860137453467988</v>
          </cell>
          <cell r="BW28">
            <v>1.6102873110285858</v>
          </cell>
          <cell r="BX28">
            <v>2.0605998966833221</v>
          </cell>
          <cell r="BY28">
            <v>1.6102873110285858</v>
          </cell>
          <cell r="BZ28">
            <v>2.0605998966833221</v>
          </cell>
          <cell r="CA28">
            <v>1.6102873110285858</v>
          </cell>
          <cell r="CB28">
            <v>2.0605998966833221</v>
          </cell>
          <cell r="CC28">
            <v>1.6150003470608651</v>
          </cell>
          <cell r="CD28">
            <v>1.6150003470608651</v>
          </cell>
        </row>
        <row r="29">
          <cell r="B29">
            <v>3.261512681385085</v>
          </cell>
          <cell r="C29">
            <v>3.6369351788186863</v>
          </cell>
          <cell r="D29">
            <v>3.6938335012999959</v>
          </cell>
          <cell r="E29">
            <v>3.6931012478889662</v>
          </cell>
          <cell r="F29">
            <v>3.6931012478889662</v>
          </cell>
          <cell r="G29">
            <v>3.1527105436416516</v>
          </cell>
          <cell r="H29">
            <v>5.1064181957561239</v>
          </cell>
          <cell r="I29">
            <v>3.2844979105700429</v>
          </cell>
          <cell r="J29">
            <v>3.8541674074562318</v>
          </cell>
          <cell r="K29">
            <v>3.2844979105700429</v>
          </cell>
          <cell r="L29">
            <v>3.2809086785970552</v>
          </cell>
          <cell r="M29">
            <v>3.8541674074562318</v>
          </cell>
          <cell r="N29">
            <v>3.1527105436416516</v>
          </cell>
          <cell r="O29">
            <v>3.6938335012999959</v>
          </cell>
          <cell r="P29">
            <v>3.6938335012999959</v>
          </cell>
          <cell r="Q29">
            <v>3.6931012478889662</v>
          </cell>
          <cell r="R29">
            <v>3.8541674074562318</v>
          </cell>
          <cell r="S29">
            <v>3.8541674074562318</v>
          </cell>
          <cell r="T29">
            <v>3.2809086785970552</v>
          </cell>
          <cell r="U29">
            <v>3.6369351788186863</v>
          </cell>
          <cell r="V29">
            <v>5.1064181957561239</v>
          </cell>
          <cell r="W29">
            <v>3.6938335012999959</v>
          </cell>
          <cell r="X29">
            <v>3.6938335012999959</v>
          </cell>
          <cell r="Y29">
            <v>3.6938335012999959</v>
          </cell>
          <cell r="Z29">
            <v>3.8541674074562318</v>
          </cell>
          <cell r="AA29">
            <v>3.1694829701610474</v>
          </cell>
          <cell r="AB29">
            <v>3.8289996940960522</v>
          </cell>
          <cell r="AC29">
            <v>3.6369351788186863</v>
          </cell>
          <cell r="AD29">
            <v>3.6938335012999959</v>
          </cell>
          <cell r="AE29">
            <v>3.8541674074562318</v>
          </cell>
          <cell r="AF29">
            <v>3.8541674074562318</v>
          </cell>
          <cell r="AG29">
            <v>3.2809086785970552</v>
          </cell>
          <cell r="AH29">
            <v>3.6369351788186863</v>
          </cell>
          <cell r="AI29">
            <v>3.8541674074562318</v>
          </cell>
          <cell r="AJ29">
            <v>3.8541674074562318</v>
          </cell>
          <cell r="AK29">
            <v>3.2809086785970552</v>
          </cell>
          <cell r="AL29">
            <v>3.6938335012999959</v>
          </cell>
          <cell r="AM29">
            <v>3.6369351788186863</v>
          </cell>
          <cell r="AN29">
            <v>3.6938335012999959</v>
          </cell>
          <cell r="AO29">
            <v>3.1527105436416516</v>
          </cell>
          <cell r="AP29">
            <v>3.1527105436416516</v>
          </cell>
          <cell r="AQ29">
            <v>3.1527105436416516</v>
          </cell>
          <cell r="AR29">
            <v>3.2737494544657473</v>
          </cell>
          <cell r="AS29">
            <v>3.7610844523313709</v>
          </cell>
          <cell r="AT29">
            <v>3.446407015526352</v>
          </cell>
          <cell r="AU29">
            <v>3.7493034715703142</v>
          </cell>
          <cell r="AV29">
            <v>3.7657087250955645</v>
          </cell>
          <cell r="AW29">
            <v>3.8818893428187442</v>
          </cell>
          <cell r="AX29">
            <v>3.620291822450624</v>
          </cell>
          <cell r="AY29">
            <v>3.6938335012999959</v>
          </cell>
          <cell r="AZ29">
            <v>3.6003326932779935</v>
          </cell>
          <cell r="BA29">
            <v>3.8195729964598364</v>
          </cell>
          <cell r="BB29">
            <v>3.7304227050115268</v>
          </cell>
          <cell r="BC29">
            <v>3.5938855075835892</v>
          </cell>
          <cell r="BD29">
            <v>3.6861872378613407</v>
          </cell>
          <cell r="BE29">
            <v>1.6586053564315082</v>
          </cell>
          <cell r="BF29">
            <v>1.6586053564315082</v>
          </cell>
          <cell r="BG29">
            <v>1.6586053564315082</v>
          </cell>
          <cell r="BH29">
            <v>1.6586053564315086</v>
          </cell>
          <cell r="BI29">
            <v>1.6586053564315082</v>
          </cell>
          <cell r="BJ29">
            <v>1.6586053564315077</v>
          </cell>
          <cell r="BK29">
            <v>2.0419508930051551</v>
          </cell>
          <cell r="BL29">
            <v>1.6586053564315084</v>
          </cell>
          <cell r="BM29">
            <v>2.077116132873718</v>
          </cell>
          <cell r="BN29">
            <v>1.6586053564315084</v>
          </cell>
          <cell r="BO29">
            <v>1.6586053564315084</v>
          </cell>
          <cell r="BP29">
            <v>1.6586053564315084</v>
          </cell>
          <cell r="BQ29">
            <v>1.6586053564315082</v>
          </cell>
          <cell r="BR29">
            <v>1.6586053564315082</v>
          </cell>
          <cell r="BS29">
            <v>1.6586053564315082</v>
          </cell>
          <cell r="BT29">
            <v>1.6586053564315082</v>
          </cell>
          <cell r="BU29">
            <v>1.6586053564315082</v>
          </cell>
          <cell r="BV29">
            <v>2.1365995786714587</v>
          </cell>
          <cell r="BW29">
            <v>1.6537650684263576</v>
          </cell>
          <cell r="BX29">
            <v>2.1108199754971873</v>
          </cell>
          <cell r="BY29">
            <v>1.6537650684263576</v>
          </cell>
          <cell r="BZ29">
            <v>2.1108199754971873</v>
          </cell>
          <cell r="CA29">
            <v>1.6537650684263576</v>
          </cell>
          <cell r="CB29">
            <v>2.1108199754971873</v>
          </cell>
          <cell r="CC29">
            <v>1.6586053564315084</v>
          </cell>
          <cell r="CD29">
            <v>1.6586053564315084</v>
          </cell>
        </row>
        <row r="30">
          <cell r="B30">
            <v>3.3528350364638673</v>
          </cell>
          <cell r="C30">
            <v>3.7387693638256096</v>
          </cell>
          <cell r="D30">
            <v>3.797260839336396</v>
          </cell>
          <cell r="E30">
            <v>3.7965080828298574</v>
          </cell>
          <cell r="F30">
            <v>3.7965080828298574</v>
          </cell>
          <cell r="G30">
            <v>3.2409864388636178</v>
          </cell>
          <cell r="H30">
            <v>5.2493979052372959</v>
          </cell>
          <cell r="I30">
            <v>3.3666103583342939</v>
          </cell>
          <cell r="J30">
            <v>4.0152716050879027</v>
          </cell>
          <cell r="K30">
            <v>3.3666103583342939</v>
          </cell>
          <cell r="L30">
            <v>3.3727741215977729</v>
          </cell>
          <cell r="M30">
            <v>4.0152716050879027</v>
          </cell>
          <cell r="N30">
            <v>3.2409864388636178</v>
          </cell>
          <cell r="O30">
            <v>3.797260839336396</v>
          </cell>
          <cell r="P30">
            <v>3.797260839336396</v>
          </cell>
          <cell r="Q30">
            <v>3.7965080828298574</v>
          </cell>
          <cell r="R30">
            <v>4.0152716050879027</v>
          </cell>
          <cell r="S30">
            <v>4.0152716050879027</v>
          </cell>
          <cell r="T30">
            <v>3.3727741215977729</v>
          </cell>
          <cell r="U30">
            <v>3.7387693638256096</v>
          </cell>
          <cell r="V30">
            <v>5.2493979052372959</v>
          </cell>
          <cell r="W30">
            <v>3.797260839336396</v>
          </cell>
          <cell r="X30">
            <v>3.797260839336396</v>
          </cell>
          <cell r="Y30">
            <v>3.797260839336396</v>
          </cell>
          <cell r="Z30">
            <v>4.0152716050879027</v>
          </cell>
          <cell r="AA30">
            <v>3.3019673583137794</v>
          </cell>
          <cell r="AB30">
            <v>2.5539920464973984</v>
          </cell>
          <cell r="AC30">
            <v>3.7387693638256096</v>
          </cell>
          <cell r="AD30">
            <v>3.797260839336396</v>
          </cell>
          <cell r="AE30">
            <v>4.0152716050879027</v>
          </cell>
          <cell r="AF30">
            <v>4.0152716050879027</v>
          </cell>
          <cell r="AG30">
            <v>3.3727741215977729</v>
          </cell>
          <cell r="AH30">
            <v>3.7387693638256096</v>
          </cell>
          <cell r="AI30">
            <v>4.0152716050879027</v>
          </cell>
          <cell r="AJ30">
            <v>4.0152716050879027</v>
          </cell>
          <cell r="AK30">
            <v>3.3727741215977729</v>
          </cell>
          <cell r="AL30">
            <v>3.797260839336396</v>
          </cell>
          <cell r="AM30">
            <v>3.7387693638256096</v>
          </cell>
          <cell r="AN30">
            <v>3.797260839336396</v>
          </cell>
          <cell r="AO30">
            <v>3.2409864388636178</v>
          </cell>
          <cell r="AP30">
            <v>3.2409864388636178</v>
          </cell>
          <cell r="AQ30">
            <v>3.2409864388636178</v>
          </cell>
          <cell r="AR30">
            <v>3.3660641740470543</v>
          </cell>
          <cell r="AS30">
            <v>3.82057676602731</v>
          </cell>
          <cell r="AT30">
            <v>3.5646579606943249</v>
          </cell>
          <cell r="AU30">
            <v>3.9040893010036539</v>
          </cell>
          <cell r="AV30">
            <v>3.9176307452425245</v>
          </cell>
          <cell r="AW30">
            <v>3.826797408436168</v>
          </cell>
          <cell r="AX30">
            <v>3.7286543972802164</v>
          </cell>
          <cell r="AY30">
            <v>3.797260839336396</v>
          </cell>
          <cell r="AZ30">
            <v>3.7094850628260456</v>
          </cell>
          <cell r="BA30">
            <v>3.9758237489335229</v>
          </cell>
          <cell r="BB30">
            <v>3.8751683920679674</v>
          </cell>
          <cell r="BC30">
            <v>3.6942785646588705</v>
          </cell>
          <cell r="BD30">
            <v>3.7709354337566574</v>
          </cell>
          <cell r="BE30">
            <v>1.6984118849858645</v>
          </cell>
          <cell r="BF30">
            <v>1.6984118849858643</v>
          </cell>
          <cell r="BG30">
            <v>1.6984118849858643</v>
          </cell>
          <cell r="BH30">
            <v>1.6984118849858649</v>
          </cell>
          <cell r="BI30">
            <v>1.6984118849858643</v>
          </cell>
          <cell r="BJ30">
            <v>1.698411884985864</v>
          </cell>
          <cell r="BK30">
            <v>2.1067828338580687</v>
          </cell>
          <cell r="BL30">
            <v>1.6984118849858647</v>
          </cell>
          <cell r="BM30">
            <v>2.8061838955123934</v>
          </cell>
          <cell r="BN30">
            <v>1.6984118849858647</v>
          </cell>
          <cell r="BO30">
            <v>1.6984118849858647</v>
          </cell>
          <cell r="BP30">
            <v>1.6984118849858647</v>
          </cell>
          <cell r="BQ30">
            <v>1.6984118849858645</v>
          </cell>
          <cell r="BR30">
            <v>1.6984118849858645</v>
          </cell>
          <cell r="BS30">
            <v>1.6984118849858645</v>
          </cell>
          <cell r="BT30">
            <v>1.6984118849858645</v>
          </cell>
          <cell r="BU30">
            <v>1.6984118849858645</v>
          </cell>
          <cell r="BV30">
            <v>2.2044366152942776</v>
          </cell>
          <cell r="BW30">
            <v>1.6934554300685902</v>
          </cell>
          <cell r="BX30">
            <v>2.1771134037544608</v>
          </cell>
          <cell r="BY30">
            <v>1.6934554300685902</v>
          </cell>
          <cell r="BZ30">
            <v>2.1771134037544608</v>
          </cell>
          <cell r="CA30">
            <v>1.6934554300685902</v>
          </cell>
          <cell r="CB30">
            <v>2.1771134037544608</v>
          </cell>
          <cell r="CC30">
            <v>1.6984118849858647</v>
          </cell>
          <cell r="CD30">
            <v>1.6984118849858647</v>
          </cell>
        </row>
        <row r="31">
          <cell r="B31">
            <v>3.4433615824483912</v>
          </cell>
          <cell r="C31">
            <v>3.8397161366489008</v>
          </cell>
          <cell r="D31">
            <v>3.8997868819984784</v>
          </cell>
          <cell r="E31">
            <v>3.8990138010662632</v>
          </cell>
          <cell r="F31">
            <v>3.8990138010662632</v>
          </cell>
          <cell r="G31">
            <v>3.3284930727129352</v>
          </cell>
          <cell r="H31">
            <v>5.3911316486787024</v>
          </cell>
          <cell r="I31">
            <v>3.4743418898009915</v>
          </cell>
          <cell r="J31">
            <v>4.1686549804022608</v>
          </cell>
          <cell r="K31">
            <v>3.4743418898009915</v>
          </cell>
          <cell r="L31">
            <v>3.4638390228809124</v>
          </cell>
          <cell r="M31">
            <v>4.1686549804022608</v>
          </cell>
          <cell r="N31">
            <v>3.3284930727129352</v>
          </cell>
          <cell r="O31">
            <v>3.8997868819984784</v>
          </cell>
          <cell r="P31">
            <v>3.8997868819984784</v>
          </cell>
          <cell r="Q31">
            <v>3.8990138010662632</v>
          </cell>
          <cell r="R31">
            <v>4.1686549804022608</v>
          </cell>
          <cell r="S31">
            <v>4.1686549804022608</v>
          </cell>
          <cell r="T31">
            <v>3.4638390228809124</v>
          </cell>
          <cell r="U31">
            <v>3.8397161366489008</v>
          </cell>
          <cell r="V31">
            <v>5.3911316486787024</v>
          </cell>
          <cell r="W31">
            <v>3.8997868819984784</v>
          </cell>
          <cell r="X31">
            <v>3.8997868819984784</v>
          </cell>
          <cell r="Y31">
            <v>3.8997868819984784</v>
          </cell>
          <cell r="Z31">
            <v>4.1686549804022608</v>
          </cell>
          <cell r="AA31">
            <v>3.4281025114013657</v>
          </cell>
          <cell r="AB31">
            <v>2.5894769042520633</v>
          </cell>
          <cell r="AC31">
            <v>3.8397161366489008</v>
          </cell>
          <cell r="AD31">
            <v>3.8997868819984784</v>
          </cell>
          <cell r="AE31">
            <v>4.1686549804022608</v>
          </cell>
          <cell r="AF31">
            <v>4.169056507562769</v>
          </cell>
          <cell r="AG31">
            <v>3.4638390228809124</v>
          </cell>
          <cell r="AH31">
            <v>3.8397161366489008</v>
          </cell>
          <cell r="AI31">
            <v>4.1686549804022608</v>
          </cell>
          <cell r="AJ31">
            <v>4.1686549804022608</v>
          </cell>
          <cell r="AK31">
            <v>3.4638390228809124</v>
          </cell>
          <cell r="AL31">
            <v>3.8997868819984784</v>
          </cell>
          <cell r="AM31">
            <v>3.8397161366489008</v>
          </cell>
          <cell r="AN31">
            <v>3.8997868819984784</v>
          </cell>
          <cell r="AO31">
            <v>3.3284930727129352</v>
          </cell>
          <cell r="AP31">
            <v>3.3284930727129352</v>
          </cell>
          <cell r="AQ31">
            <v>3.3284930727129352</v>
          </cell>
          <cell r="AR31">
            <v>3.4573614727660744</v>
          </cell>
          <cell r="AS31">
            <v>3.9404399205153946</v>
          </cell>
          <cell r="AT31">
            <v>3.680346732789614</v>
          </cell>
          <cell r="AU31">
            <v>4.0513846561147844</v>
          </cell>
          <cell r="AV31">
            <v>4.0621193748657181</v>
          </cell>
          <cell r="AW31">
            <v>3.9280468532583637</v>
          </cell>
          <cell r="AX31">
            <v>3.8351745961017172</v>
          </cell>
          <cell r="AY31">
            <v>3.8997868819984784</v>
          </cell>
          <cell r="AZ31">
            <v>3.828816343847111</v>
          </cell>
          <cell r="BA31">
            <v>4.1247773817883253</v>
          </cell>
          <cell r="BB31">
            <v>4.0137120399125603</v>
          </cell>
          <cell r="BC31">
            <v>3.8043440625029721</v>
          </cell>
          <cell r="BD31">
            <v>3.8753082595853861</v>
          </cell>
          <cell r="BE31">
            <v>1.7238880632606521</v>
          </cell>
          <cell r="BF31">
            <v>1.7238880632606519</v>
          </cell>
          <cell r="BG31">
            <v>1.7238880632606519</v>
          </cell>
          <cell r="BH31">
            <v>1.7238880632606526</v>
          </cell>
          <cell r="BI31">
            <v>1.7238880632606519</v>
          </cell>
          <cell r="BJ31">
            <v>1.7238880632606519</v>
          </cell>
          <cell r="BK31">
            <v>2.1868405815446756</v>
          </cell>
          <cell r="BL31">
            <v>1.7238880632606526</v>
          </cell>
          <cell r="BM31">
            <v>1.9306545201125265</v>
          </cell>
          <cell r="BN31">
            <v>1.7238880632606526</v>
          </cell>
          <cell r="BO31">
            <v>1.7238880632606526</v>
          </cell>
          <cell r="BP31">
            <v>1.7238880632606526</v>
          </cell>
          <cell r="BQ31">
            <v>1.7238880632606521</v>
          </cell>
          <cell r="BR31">
            <v>1.7238880632606521</v>
          </cell>
          <cell r="BS31">
            <v>1.7238880632606521</v>
          </cell>
          <cell r="BT31">
            <v>1.7238880632606521</v>
          </cell>
          <cell r="BU31">
            <v>1.7238880632606521</v>
          </cell>
          <cell r="BV31">
            <v>2.2882052066754603</v>
          </cell>
          <cell r="BW31">
            <v>1.7188572615196189</v>
          </cell>
          <cell r="BX31">
            <v>2.2576401394607339</v>
          </cell>
          <cell r="BY31">
            <v>1.7188572615196189</v>
          </cell>
          <cell r="BZ31">
            <v>2.2576401394607339</v>
          </cell>
          <cell r="CA31">
            <v>1.7188572615196189</v>
          </cell>
          <cell r="CB31">
            <v>2.2576401394607339</v>
          </cell>
          <cell r="CC31">
            <v>1.7238880632606526</v>
          </cell>
          <cell r="CD31">
            <v>1.7238880632606526</v>
          </cell>
        </row>
        <row r="32">
          <cell r="B32">
            <v>3.5122288140973592</v>
          </cell>
          <cell r="C32">
            <v>3.9165104593818789</v>
          </cell>
          <cell r="D32">
            <v>3.977782619638448</v>
          </cell>
          <cell r="E32">
            <v>3.9769940770875887</v>
          </cell>
          <cell r="F32">
            <v>3.9769940770875887</v>
          </cell>
          <cell r="G32">
            <v>3.3950629341671941</v>
          </cell>
          <cell r="H32">
            <v>5.498954281652277</v>
          </cell>
          <cell r="I32">
            <v>3.6202642491726333</v>
          </cell>
          <cell r="J32">
            <v>4.2753725479005587</v>
          </cell>
          <cell r="K32">
            <v>3.6202642491726333</v>
          </cell>
          <cell r="L32">
            <v>3.5331158033385308</v>
          </cell>
          <cell r="M32">
            <v>4.2753725479005587</v>
          </cell>
          <cell r="N32">
            <v>3.3950629341671941</v>
          </cell>
          <cell r="O32">
            <v>3.977782619638448</v>
          </cell>
          <cell r="P32">
            <v>3.977782619638448</v>
          </cell>
          <cell r="Q32">
            <v>3.9769940770875887</v>
          </cell>
          <cell r="R32">
            <v>4.2753725479005587</v>
          </cell>
          <cell r="S32">
            <v>4.2753725479005587</v>
          </cell>
          <cell r="T32">
            <v>3.5331158033385308</v>
          </cell>
          <cell r="U32">
            <v>3.9165104593818789</v>
          </cell>
          <cell r="V32">
            <v>5.498954281652277</v>
          </cell>
          <cell r="W32">
            <v>3.977782619638448</v>
          </cell>
          <cell r="X32">
            <v>3.977782619638448</v>
          </cell>
          <cell r="Y32">
            <v>3.977782619638448</v>
          </cell>
          <cell r="Z32">
            <v>4.2753725479005587</v>
          </cell>
          <cell r="AA32">
            <v>3.4589554340039776</v>
          </cell>
          <cell r="AB32">
            <v>2.9547262159681842</v>
          </cell>
          <cell r="AC32">
            <v>3.9165104593818789</v>
          </cell>
          <cell r="AD32">
            <v>3.977782619638448</v>
          </cell>
          <cell r="AE32">
            <v>4.2753725479005587</v>
          </cell>
          <cell r="AF32">
            <v>4.275784354156376</v>
          </cell>
          <cell r="AG32">
            <v>3.5331158033385308</v>
          </cell>
          <cell r="AH32">
            <v>3.9165104593818789</v>
          </cell>
          <cell r="AI32">
            <v>4.2753725479005587</v>
          </cell>
          <cell r="AJ32">
            <v>4.2753725479005587</v>
          </cell>
          <cell r="AK32">
            <v>3.5331158033385308</v>
          </cell>
          <cell r="AL32">
            <v>3.977782619638448</v>
          </cell>
          <cell r="AM32">
            <v>3.9165104593818789</v>
          </cell>
          <cell r="AN32">
            <v>3.977782619638448</v>
          </cell>
          <cell r="AO32">
            <v>3.3950629341671941</v>
          </cell>
          <cell r="AP32">
            <v>3.3950629341671941</v>
          </cell>
          <cell r="AQ32">
            <v>3.3950629341671941</v>
          </cell>
          <cell r="AR32">
            <v>3.5260447243117508</v>
          </cell>
          <cell r="AS32">
            <v>4.0287881248088011</v>
          </cell>
          <cell r="AT32">
            <v>3.7348493555901685</v>
          </cell>
          <cell r="AU32">
            <v>4.1541358737631677</v>
          </cell>
          <cell r="AV32">
            <v>4.1633366656922215</v>
          </cell>
          <cell r="AW32">
            <v>4.0794951558171038</v>
          </cell>
          <cell r="AX32">
            <v>3.9059719191457547</v>
          </cell>
          <cell r="AY32">
            <v>3.977782619638448</v>
          </cell>
          <cell r="AZ32">
            <v>3.8959289853669663</v>
          </cell>
          <cell r="BA32">
            <v>4.2289187711771454</v>
          </cell>
          <cell r="BB32">
            <v>4.1123588067507892</v>
          </cell>
          <cell r="BC32">
            <v>3.8736912206188037</v>
          </cell>
          <cell r="BD32">
            <v>3.9599932238827864</v>
          </cell>
          <cell r="BE32">
            <v>1.7394030558299978</v>
          </cell>
          <cell r="BF32">
            <v>1.7394030558299978</v>
          </cell>
          <cell r="BG32">
            <v>1.7394030558299978</v>
          </cell>
          <cell r="BH32">
            <v>1.7394030558299982</v>
          </cell>
          <cell r="BI32">
            <v>1.7394030558299978</v>
          </cell>
          <cell r="BJ32">
            <v>1.7394030558299975</v>
          </cell>
          <cell r="BK32">
            <v>2.2409648859379061</v>
          </cell>
          <cell r="BL32">
            <v>1.7394030558299982</v>
          </cell>
          <cell r="BM32">
            <v>2.5252961123071849</v>
          </cell>
          <cell r="BN32">
            <v>1.7394030558299982</v>
          </cell>
          <cell r="BO32">
            <v>1.7394030558299982</v>
          </cell>
          <cell r="BP32">
            <v>1.7394030558299982</v>
          </cell>
          <cell r="BQ32">
            <v>1.7394030558299978</v>
          </cell>
          <cell r="BR32">
            <v>1.7394030558299978</v>
          </cell>
          <cell r="BS32">
            <v>1.7394030558299978</v>
          </cell>
          <cell r="BT32">
            <v>1.7394030558299978</v>
          </cell>
          <cell r="BU32">
            <v>1.7394030558299978</v>
          </cell>
          <cell r="BV32">
            <v>2.3688644402107704</v>
          </cell>
          <cell r="BW32">
            <v>1.7343269768732952</v>
          </cell>
          <cell r="BX32">
            <v>2.3346692819821717</v>
          </cell>
          <cell r="BY32">
            <v>1.7343269768732952</v>
          </cell>
          <cell r="BZ32">
            <v>2.3346692819821717</v>
          </cell>
          <cell r="CA32">
            <v>1.7343269768732952</v>
          </cell>
          <cell r="CB32">
            <v>2.3346692819821717</v>
          </cell>
          <cell r="CC32">
            <v>1.7394030558299982</v>
          </cell>
          <cell r="CD32">
            <v>1.7394030558299982</v>
          </cell>
        </row>
        <row r="33">
          <cell r="B33">
            <v>3.5789611615652088</v>
          </cell>
          <cell r="C33">
            <v>3.9909241581101345</v>
          </cell>
          <cell r="D33">
            <v>4.0533604894115784</v>
          </cell>
          <cell r="E33">
            <v>4.0525569645522523</v>
          </cell>
          <cell r="F33">
            <v>4.0525569645522523</v>
          </cell>
          <cell r="G33">
            <v>3.4595691299163702</v>
          </cell>
          <cell r="H33">
            <v>5.6034344130036695</v>
          </cell>
          <cell r="I33">
            <v>3.7614545548903657</v>
          </cell>
          <cell r="J33">
            <v>4.3822568615980719</v>
          </cell>
          <cell r="K33">
            <v>3.7614545548903657</v>
          </cell>
          <cell r="L33">
            <v>3.6002450036019624</v>
          </cell>
          <cell r="M33">
            <v>4.3822568615980719</v>
          </cell>
          <cell r="N33">
            <v>3.4595691299163702</v>
          </cell>
          <cell r="O33">
            <v>4.0533604894115784</v>
          </cell>
          <cell r="P33">
            <v>4.0533604894115784</v>
          </cell>
          <cell r="Q33">
            <v>4.0525569645522523</v>
          </cell>
          <cell r="R33">
            <v>4.3822568615980719</v>
          </cell>
          <cell r="S33">
            <v>4.3822568615980719</v>
          </cell>
          <cell r="T33">
            <v>3.6002450036019624</v>
          </cell>
          <cell r="U33">
            <v>3.9909241581101345</v>
          </cell>
          <cell r="V33">
            <v>5.6034344130036695</v>
          </cell>
          <cell r="W33">
            <v>4.0533604894115784</v>
          </cell>
          <cell r="X33">
            <v>4.0533604894115784</v>
          </cell>
          <cell r="Y33">
            <v>4.0533604894115784</v>
          </cell>
          <cell r="Z33">
            <v>4.3822568615980719</v>
          </cell>
          <cell r="AA33">
            <v>3.5108397655140369</v>
          </cell>
          <cell r="AB33">
            <v>2.5882532884674196</v>
          </cell>
          <cell r="AC33">
            <v>3.9909241581101345</v>
          </cell>
          <cell r="AD33">
            <v>4.0533604894115784</v>
          </cell>
          <cell r="AE33">
            <v>4.3822568615980719</v>
          </cell>
          <cell r="AF33">
            <v>4.3826789630102851</v>
          </cell>
          <cell r="AG33">
            <v>3.6002450036019624</v>
          </cell>
          <cell r="AH33">
            <v>3.9909241581101345</v>
          </cell>
          <cell r="AI33">
            <v>4.3822568615980719</v>
          </cell>
          <cell r="AJ33">
            <v>4.3822568615980719</v>
          </cell>
          <cell r="AK33">
            <v>3.6002450036019624</v>
          </cell>
          <cell r="AL33">
            <v>4.0533604894115784</v>
          </cell>
          <cell r="AM33">
            <v>3.9909241581101345</v>
          </cell>
          <cell r="AN33">
            <v>4.0533604894115784</v>
          </cell>
          <cell r="AO33">
            <v>3.4595691299163702</v>
          </cell>
          <cell r="AP33">
            <v>3.4595691299163702</v>
          </cell>
          <cell r="AQ33">
            <v>3.4595691299163702</v>
          </cell>
          <cell r="AR33">
            <v>3.5928703239269075</v>
          </cell>
          <cell r="AS33">
            <v>4.0715191833845665</v>
          </cell>
          <cell r="AT33">
            <v>3.7990409584345679</v>
          </cell>
          <cell r="AU33">
            <v>4.2570271727388826</v>
          </cell>
          <cell r="AV33">
            <v>4.264554874041198</v>
          </cell>
          <cell r="AW33">
            <v>4.0883901991892264</v>
          </cell>
          <cell r="AX33">
            <v>3.9779980413348026</v>
          </cell>
          <cell r="AY33">
            <v>4.0533604894115784</v>
          </cell>
          <cell r="AZ33">
            <v>3.9643430567216047</v>
          </cell>
          <cell r="BA33">
            <v>4.3330482838635946</v>
          </cell>
          <cell r="BB33">
            <v>4.2108769417405956</v>
          </cell>
          <cell r="BC33">
            <v>3.9393544456022247</v>
          </cell>
          <cell r="BD33">
            <v>4.0236083493480779</v>
          </cell>
          <cell r="BE33">
            <v>1.7585364894441275</v>
          </cell>
          <cell r="BF33">
            <v>1.7585364894441275</v>
          </cell>
          <cell r="BG33">
            <v>1.7585364894441275</v>
          </cell>
          <cell r="BH33">
            <v>1.758536489444128</v>
          </cell>
          <cell r="BI33">
            <v>1.7585364894441275</v>
          </cell>
          <cell r="BJ33">
            <v>1.7585364894441273</v>
          </cell>
          <cell r="BK33">
            <v>2.2756998416699439</v>
          </cell>
          <cell r="BL33">
            <v>1.758536489444128</v>
          </cell>
          <cell r="BM33">
            <v>2.7222692090671452</v>
          </cell>
          <cell r="BN33">
            <v>1.758536489444128</v>
          </cell>
          <cell r="BO33">
            <v>1.758536489444128</v>
          </cell>
          <cell r="BP33">
            <v>1.758536489444128</v>
          </cell>
          <cell r="BQ33">
            <v>1.7585364894441275</v>
          </cell>
          <cell r="BR33">
            <v>1.7585364894441275</v>
          </cell>
          <cell r="BS33">
            <v>1.7585364894441275</v>
          </cell>
          <cell r="BT33">
            <v>1.7585364894441275</v>
          </cell>
          <cell r="BU33">
            <v>1.7585364894441275</v>
          </cell>
          <cell r="BV33">
            <v>2.4138728645747749</v>
          </cell>
          <cell r="BW33">
            <v>1.7534045736189012</v>
          </cell>
          <cell r="BX33">
            <v>2.3782430394229244</v>
          </cell>
          <cell r="BY33">
            <v>1.7534045736189012</v>
          </cell>
          <cell r="BZ33">
            <v>2.3782430394229244</v>
          </cell>
          <cell r="CA33">
            <v>1.7534045736189012</v>
          </cell>
          <cell r="CB33">
            <v>2.3782430394229244</v>
          </cell>
          <cell r="CC33">
            <v>1.758536489444128</v>
          </cell>
          <cell r="CD33">
            <v>1.758536489444128</v>
          </cell>
        </row>
        <row r="34">
          <cell r="B34">
            <v>3.6505403847965132</v>
          </cell>
          <cell r="C34">
            <v>4.0707426412723375</v>
          </cell>
          <cell r="D34">
            <v>4.1344276991998097</v>
          </cell>
          <cell r="E34">
            <v>4.1336081038432972</v>
          </cell>
          <cell r="F34">
            <v>4.1336081038432972</v>
          </cell>
          <cell r="G34">
            <v>3.5287605125146975</v>
          </cell>
          <cell r="H34">
            <v>5.7155031012637432</v>
          </cell>
          <cell r="I34">
            <v>3.8178763732137209</v>
          </cell>
          <cell r="J34">
            <v>4.4896221547072246</v>
          </cell>
          <cell r="K34">
            <v>3.8178763732137209</v>
          </cell>
          <cell r="L34">
            <v>3.6722499036740017</v>
          </cell>
          <cell r="M34">
            <v>4.4896221547072246</v>
          </cell>
          <cell r="N34">
            <v>3.5287605125146975</v>
          </cell>
          <cell r="O34">
            <v>4.1344276991998097</v>
          </cell>
          <cell r="P34">
            <v>4.1344276991998097</v>
          </cell>
          <cell r="Q34">
            <v>4.1336081038432972</v>
          </cell>
          <cell r="R34">
            <v>4.4896221547072246</v>
          </cell>
          <cell r="S34">
            <v>4.4896221547072246</v>
          </cell>
          <cell r="T34">
            <v>3.6722499036740017</v>
          </cell>
          <cell r="U34">
            <v>4.0707426412723375</v>
          </cell>
          <cell r="V34">
            <v>5.7155031012637432</v>
          </cell>
          <cell r="W34">
            <v>4.1344276991998097</v>
          </cell>
          <cell r="X34">
            <v>4.1344276991998097</v>
          </cell>
          <cell r="Y34">
            <v>4.1344276991998097</v>
          </cell>
          <cell r="Z34">
            <v>4.4896221547072246</v>
          </cell>
          <cell r="AA34">
            <v>3.5810565608243179</v>
          </cell>
          <cell r="AB34">
            <v>2.7332517589476888</v>
          </cell>
          <cell r="AC34">
            <v>4.0707426412723375</v>
          </cell>
          <cell r="AD34">
            <v>4.1344276991998097</v>
          </cell>
          <cell r="AE34">
            <v>4.4896221547072246</v>
          </cell>
          <cell r="AF34">
            <v>4.4900545976040371</v>
          </cell>
          <cell r="AG34">
            <v>3.6722499036740017</v>
          </cell>
          <cell r="AH34">
            <v>4.0707426412723375</v>
          </cell>
          <cell r="AI34">
            <v>4.4896221547072246</v>
          </cell>
          <cell r="AJ34">
            <v>4.4896221547072246</v>
          </cell>
          <cell r="AK34">
            <v>3.6722499036740017</v>
          </cell>
          <cell r="AL34">
            <v>4.1344276991998097</v>
          </cell>
          <cell r="AM34">
            <v>4.0707426412723375</v>
          </cell>
          <cell r="AN34">
            <v>4.1344276991998097</v>
          </cell>
          <cell r="AO34">
            <v>3.5287605125146975</v>
          </cell>
          <cell r="AP34">
            <v>3.5287605125146975</v>
          </cell>
          <cell r="AQ34">
            <v>3.5287605125146975</v>
          </cell>
          <cell r="AR34">
            <v>3.6647277304054455</v>
          </cell>
          <cell r="AS34">
            <v>4.1601213991592445</v>
          </cell>
          <cell r="AT34">
            <v>3.8750217776032594</v>
          </cell>
          <cell r="AU34">
            <v>4.3606155434467242</v>
          </cell>
          <cell r="AV34">
            <v>4.3669485423888776</v>
          </cell>
          <cell r="AW34">
            <v>4.1904224868193252</v>
          </cell>
          <cell r="AX34">
            <v>4.0575580021614988</v>
          </cell>
          <cell r="AY34">
            <v>4.1344276991998097</v>
          </cell>
          <cell r="AZ34">
            <v>4.0436299178560366</v>
          </cell>
          <cell r="BA34">
            <v>4.4379658985276826</v>
          </cell>
          <cell r="BB34">
            <v>4.311005910731315</v>
          </cell>
          <cell r="BC34">
            <v>4.0191206612712396</v>
          </cell>
          <cell r="BD34">
            <v>4.106544452157773</v>
          </cell>
          <cell r="BE34">
            <v>1.7866730732752334</v>
          </cell>
          <cell r="BF34">
            <v>1.7866730732752336</v>
          </cell>
          <cell r="BG34">
            <v>1.7866730732752336</v>
          </cell>
          <cell r="BH34">
            <v>1.7866730732752341</v>
          </cell>
          <cell r="BI34">
            <v>1.7866730732752336</v>
          </cell>
          <cell r="BJ34">
            <v>1.7866730732752334</v>
          </cell>
          <cell r="BK34">
            <v>2.3229206133845954</v>
          </cell>
          <cell r="BL34">
            <v>1.7866730732752341</v>
          </cell>
          <cell r="BM34">
            <v>2.8039372853391598</v>
          </cell>
          <cell r="BN34">
            <v>1.7866730732752341</v>
          </cell>
          <cell r="BO34">
            <v>1.7866730732752341</v>
          </cell>
          <cell r="BP34">
            <v>1.7866730732752341</v>
          </cell>
          <cell r="BQ34">
            <v>1.7866730732752334</v>
          </cell>
          <cell r="BR34">
            <v>1.7866730732752334</v>
          </cell>
          <cell r="BS34">
            <v>1.7866730732752334</v>
          </cell>
          <cell r="BT34">
            <v>1.7866730732752334</v>
          </cell>
          <cell r="BU34">
            <v>1.7866730732752334</v>
          </cell>
          <cell r="BV34">
            <v>2.4639607265147019</v>
          </cell>
          <cell r="BW34">
            <v>1.7814590467968037</v>
          </cell>
          <cell r="BX34">
            <v>2.4271203863711102</v>
          </cell>
          <cell r="BY34">
            <v>1.7814590467968037</v>
          </cell>
          <cell r="BZ34">
            <v>2.4271203863711102</v>
          </cell>
          <cell r="CA34">
            <v>1.7814590467968037</v>
          </cell>
          <cell r="CB34">
            <v>2.4271203863711102</v>
          </cell>
          <cell r="CC34">
            <v>1.7866730732752341</v>
          </cell>
          <cell r="CD34">
            <v>1.7866730732752341</v>
          </cell>
        </row>
        <row r="35">
          <cell r="B35">
            <v>3.7162501117228506</v>
          </cell>
          <cell r="C35">
            <v>4.1440160088152398</v>
          </cell>
          <cell r="D35">
            <v>4.208847397785406</v>
          </cell>
          <cell r="E35">
            <v>4.208013049712477</v>
          </cell>
          <cell r="F35">
            <v>4.208013049712477</v>
          </cell>
          <cell r="G35">
            <v>3.5922782017399619</v>
          </cell>
          <cell r="H35">
            <v>5.8183821570864902</v>
          </cell>
          <cell r="I35">
            <v>3.852237260572644</v>
          </cell>
          <cell r="J35">
            <v>4.6175763861163803</v>
          </cell>
          <cell r="K35">
            <v>3.852237260572644</v>
          </cell>
          <cell r="L35">
            <v>3.7383504019401337</v>
          </cell>
          <cell r="M35">
            <v>4.6175763861163803</v>
          </cell>
          <cell r="N35">
            <v>3.5922782017399619</v>
          </cell>
          <cell r="O35">
            <v>4.208847397785406</v>
          </cell>
          <cell r="P35">
            <v>4.208847397785406</v>
          </cell>
          <cell r="Q35">
            <v>4.208013049712477</v>
          </cell>
          <cell r="R35">
            <v>4.6175763861163803</v>
          </cell>
          <cell r="S35">
            <v>4.6175763861163803</v>
          </cell>
          <cell r="T35">
            <v>3.7383504019401337</v>
          </cell>
          <cell r="U35">
            <v>4.1440160088152398</v>
          </cell>
          <cell r="V35">
            <v>5.8183821570864902</v>
          </cell>
          <cell r="W35">
            <v>4.208847397785406</v>
          </cell>
          <cell r="X35">
            <v>4.208847397785406</v>
          </cell>
          <cell r="Y35">
            <v>4.208847397785406</v>
          </cell>
          <cell r="Z35">
            <v>4.6175763861163803</v>
          </cell>
          <cell r="AA35">
            <v>3.6795356162469868</v>
          </cell>
          <cell r="AB35">
            <v>2.7687366167023542</v>
          </cell>
          <cell r="AC35">
            <v>4.1440160088152398</v>
          </cell>
          <cell r="AD35">
            <v>4.208847397785406</v>
          </cell>
          <cell r="AE35">
            <v>4.6175763861163803</v>
          </cell>
          <cell r="AF35">
            <v>4.6180211536357518</v>
          </cell>
          <cell r="AG35">
            <v>3.7383504019401337</v>
          </cell>
          <cell r="AH35">
            <v>4.1440160088152398</v>
          </cell>
          <cell r="AI35">
            <v>4.6175763861163803</v>
          </cell>
          <cell r="AJ35">
            <v>4.6175763861163803</v>
          </cell>
          <cell r="AK35">
            <v>3.7383504019401337</v>
          </cell>
          <cell r="AL35">
            <v>4.208847397785406</v>
          </cell>
          <cell r="AM35">
            <v>4.1440160088152398</v>
          </cell>
          <cell r="AN35">
            <v>4.208847397785406</v>
          </cell>
          <cell r="AO35">
            <v>3.5922782017399619</v>
          </cell>
          <cell r="AP35">
            <v>3.5922782017399619</v>
          </cell>
          <cell r="AQ35">
            <v>3.5922782017399619</v>
          </cell>
          <cell r="AR35">
            <v>3.731162830884168</v>
          </cell>
          <cell r="AS35">
            <v>4.2519753814735388</v>
          </cell>
          <cell r="AT35">
            <v>3.9623097431611947</v>
          </cell>
          <cell r="AU35">
            <v>4.4832447737595329</v>
          </cell>
          <cell r="AV35">
            <v>4.4862297766973862</v>
          </cell>
          <cell r="AW35">
            <v>4.2713130270755011</v>
          </cell>
          <cell r="AX35">
            <v>4.1359905983432812</v>
          </cell>
          <cell r="AY35">
            <v>4.208847397785406</v>
          </cell>
          <cell r="AZ35">
            <v>4.1260265603291977</v>
          </cell>
          <cell r="BA35">
            <v>4.5606687767748308</v>
          </cell>
          <cell r="BB35">
            <v>4.4260476900627266</v>
          </cell>
          <cell r="BC35">
            <v>4.100612840638501</v>
          </cell>
          <cell r="BD35">
            <v>4.1824923862014227</v>
          </cell>
          <cell r="BE35">
            <v>1.8170465155209121</v>
          </cell>
          <cell r="BF35">
            <v>1.8170465155209123</v>
          </cell>
          <cell r="BG35">
            <v>1.8170465155209123</v>
          </cell>
          <cell r="BH35">
            <v>1.8170465155209128</v>
          </cell>
          <cell r="BI35">
            <v>1.8170465155209123</v>
          </cell>
          <cell r="BJ35">
            <v>1.8170465155209121</v>
          </cell>
          <cell r="BK35">
            <v>2.376347787492441</v>
          </cell>
          <cell r="BL35">
            <v>1.8170465155209128</v>
          </cell>
          <cell r="BM35">
            <v>2.8572120937606034</v>
          </cell>
          <cell r="BN35">
            <v>1.8170465155209128</v>
          </cell>
          <cell r="BO35">
            <v>1.8170465155209128</v>
          </cell>
          <cell r="BP35">
            <v>1.8170465155209128</v>
          </cell>
          <cell r="BQ35">
            <v>1.8170465155209121</v>
          </cell>
          <cell r="BR35">
            <v>1.8170465155209121</v>
          </cell>
          <cell r="BS35">
            <v>1.8170465155209121</v>
          </cell>
          <cell r="BT35">
            <v>1.8170465155209121</v>
          </cell>
          <cell r="BU35">
            <v>1.8170465155209121</v>
          </cell>
          <cell r="BV35">
            <v>2.5206318232245395</v>
          </cell>
          <cell r="BW35">
            <v>1.8117438505923493</v>
          </cell>
          <cell r="BX35">
            <v>2.4823394370373197</v>
          </cell>
          <cell r="BY35">
            <v>1.8117438505923493</v>
          </cell>
          <cell r="BZ35">
            <v>2.4823394370373197</v>
          </cell>
          <cell r="CA35">
            <v>1.8117438505923493</v>
          </cell>
          <cell r="CB35">
            <v>2.4823394370373197</v>
          </cell>
          <cell r="CC35">
            <v>1.8170465155209128</v>
          </cell>
          <cell r="CD35">
            <v>1.8170465155209128</v>
          </cell>
        </row>
        <row r="36">
          <cell r="B36">
            <v>3.7422638625049101</v>
          </cell>
          <cell r="C36">
            <v>4.1730241208769456</v>
          </cell>
          <cell r="D36">
            <v>4.238309329569903</v>
          </cell>
          <cell r="E36">
            <v>4.2374691410604637</v>
          </cell>
          <cell r="F36">
            <v>4.2374691410604637</v>
          </cell>
          <cell r="G36">
            <v>3.6174241491521415</v>
          </cell>
          <cell r="H36">
            <v>5.8591108321860954</v>
          </cell>
          <cell r="I36">
            <v>3.8830551586572253</v>
          </cell>
          <cell r="J36">
            <v>4.7491773131206969</v>
          </cell>
          <cell r="K36">
            <v>3.8830551586572253</v>
          </cell>
          <cell r="L36">
            <v>3.7645188547537143</v>
          </cell>
          <cell r="M36">
            <v>4.7491773131206969</v>
          </cell>
          <cell r="N36">
            <v>3.6174241491521415</v>
          </cell>
          <cell r="O36">
            <v>4.238309329569903</v>
          </cell>
          <cell r="P36">
            <v>4.238309329569903</v>
          </cell>
          <cell r="Q36">
            <v>4.2374691410604637</v>
          </cell>
          <cell r="R36">
            <v>4.7491773131206969</v>
          </cell>
          <cell r="S36">
            <v>4.7491773131206969</v>
          </cell>
          <cell r="T36">
            <v>3.7645188547537143</v>
          </cell>
          <cell r="U36">
            <v>4.1730241208769456</v>
          </cell>
          <cell r="V36">
            <v>5.8591108321860954</v>
          </cell>
          <cell r="W36">
            <v>4.238309329569903</v>
          </cell>
          <cell r="X36">
            <v>4.238309329569903</v>
          </cell>
          <cell r="Y36">
            <v>4.238309329569903</v>
          </cell>
          <cell r="Z36">
            <v>4.7491773131206969</v>
          </cell>
          <cell r="AA36">
            <v>3.7844023813100258</v>
          </cell>
          <cell r="AB36">
            <v>3.314163352707248</v>
          </cell>
          <cell r="AC36">
            <v>4.1730241208769456</v>
          </cell>
          <cell r="AD36">
            <v>4.238309329569903</v>
          </cell>
          <cell r="AE36">
            <v>4.7491773131206969</v>
          </cell>
          <cell r="AF36">
            <v>4.7496347565143706</v>
          </cell>
          <cell r="AG36">
            <v>3.7645188547537143</v>
          </cell>
          <cell r="AH36">
            <v>4.1730241208769456</v>
          </cell>
          <cell r="AI36">
            <v>4.7491773131206969</v>
          </cell>
          <cell r="AJ36">
            <v>4.7491773131206969</v>
          </cell>
          <cell r="AK36">
            <v>3.7645188547537143</v>
          </cell>
          <cell r="AL36">
            <v>4.238309329569903</v>
          </cell>
          <cell r="AM36">
            <v>4.1730241208769456</v>
          </cell>
          <cell r="AN36">
            <v>4.238309329569903</v>
          </cell>
          <cell r="AO36">
            <v>3.6174241491521415</v>
          </cell>
          <cell r="AP36">
            <v>3.6174241491521415</v>
          </cell>
          <cell r="AQ36">
            <v>3.6174241491521415</v>
          </cell>
          <cell r="AR36">
            <v>3.7583719627121082</v>
          </cell>
          <cell r="AS36">
            <v>4.3659003728629378</v>
          </cell>
          <cell r="AT36">
            <v>4.0310306565381717</v>
          </cell>
          <cell r="AU36">
            <v>4.6068724900183389</v>
          </cell>
          <cell r="AV36">
            <v>4.6027250511778206</v>
          </cell>
          <cell r="AW36">
            <v>4.4249970609435296</v>
          </cell>
          <cell r="AX36">
            <v>4.1773918642326979</v>
          </cell>
          <cell r="AY36">
            <v>4.238309329569903</v>
          </cell>
          <cell r="AZ36">
            <v>4.1774587192116686</v>
          </cell>
          <cell r="BA36">
            <v>4.6844998273683816</v>
          </cell>
          <cell r="BB36">
            <v>4.5353847887551151</v>
          </cell>
          <cell r="BC36">
            <v>4.1573733447119796</v>
          </cell>
          <cell r="BD36">
            <v>4.2307552604980039</v>
          </cell>
          <cell r="BE36">
            <v>1.8479363062847673</v>
          </cell>
          <cell r="BF36">
            <v>1.847936306284768</v>
          </cell>
          <cell r="BG36">
            <v>1.847936306284768</v>
          </cell>
          <cell r="BH36">
            <v>1.847936306284768</v>
          </cell>
          <cell r="BI36">
            <v>1.847936306284768</v>
          </cell>
          <cell r="BJ36">
            <v>1.8479363062847676</v>
          </cell>
          <cell r="BK36">
            <v>2.4310037866047667</v>
          </cell>
          <cell r="BL36">
            <v>1.847936306284768</v>
          </cell>
          <cell r="BM36">
            <v>2.9114991235420549</v>
          </cell>
          <cell r="BN36">
            <v>1.847936306284768</v>
          </cell>
          <cell r="BO36">
            <v>1.847936306284768</v>
          </cell>
          <cell r="BP36">
            <v>1.847936306284768</v>
          </cell>
          <cell r="BQ36">
            <v>1.8479363062847673</v>
          </cell>
          <cell r="BR36">
            <v>1.8479363062847673</v>
          </cell>
          <cell r="BS36">
            <v>1.8479363062847673</v>
          </cell>
          <cell r="BT36">
            <v>1.8479363062847673</v>
          </cell>
          <cell r="BU36">
            <v>1.8479363062847673</v>
          </cell>
          <cell r="BV36">
            <v>2.588058724495796</v>
          </cell>
          <cell r="BW36">
            <v>1.8425434960524192</v>
          </cell>
          <cell r="BX36">
            <v>2.5477426445292028</v>
          </cell>
          <cell r="BY36">
            <v>1.8425434960524192</v>
          </cell>
          <cell r="BZ36">
            <v>2.5477426445292028</v>
          </cell>
          <cell r="CA36">
            <v>1.8425434960524192</v>
          </cell>
          <cell r="CB36">
            <v>2.5477426445292028</v>
          </cell>
          <cell r="CC36">
            <v>1.847936306284768</v>
          </cell>
          <cell r="CD36">
            <v>1.847936306284768</v>
          </cell>
        </row>
        <row r="37">
          <cell r="B37">
            <v>3.7722019734049494</v>
          </cell>
          <cell r="C37">
            <v>4.2064083138439612</v>
          </cell>
          <cell r="D37">
            <v>4.2722158042064624</v>
          </cell>
          <cell r="E37">
            <v>4.2713688941889476</v>
          </cell>
          <cell r="F37">
            <v>4.2713688941889476</v>
          </cell>
          <cell r="G37">
            <v>3.6463635423453589</v>
          </cell>
          <cell r="H37">
            <v>5.9059837188435846</v>
          </cell>
          <cell r="I37">
            <v>3.8481076622293102</v>
          </cell>
          <cell r="J37">
            <v>4.9106493417668009</v>
          </cell>
          <cell r="K37">
            <v>3.8481076622293102</v>
          </cell>
          <cell r="L37">
            <v>3.7946350055917439</v>
          </cell>
          <cell r="M37">
            <v>4.9106493417668009</v>
          </cell>
          <cell r="N37">
            <v>3.6463635423453589</v>
          </cell>
          <cell r="O37">
            <v>4.2722158042064624</v>
          </cell>
          <cell r="P37">
            <v>4.2722158042064624</v>
          </cell>
          <cell r="Q37">
            <v>4.2713688941889476</v>
          </cell>
          <cell r="R37">
            <v>4.9106493417668009</v>
          </cell>
          <cell r="S37">
            <v>4.9106493417668009</v>
          </cell>
          <cell r="T37">
            <v>3.7946350055917439</v>
          </cell>
          <cell r="U37">
            <v>4.2064083138439612</v>
          </cell>
          <cell r="V37">
            <v>5.9059837188435846</v>
          </cell>
          <cell r="W37">
            <v>4.2722158042064624</v>
          </cell>
          <cell r="X37">
            <v>4.2722158042064624</v>
          </cell>
          <cell r="Y37">
            <v>4.2722158042064624</v>
          </cell>
          <cell r="Z37">
            <v>4.9106493417668009</v>
          </cell>
          <cell r="AA37">
            <v>3.9130720622745669</v>
          </cell>
          <cell r="AB37">
            <v>3.022636892015905</v>
          </cell>
          <cell r="AC37">
            <v>4.2064083138439612</v>
          </cell>
          <cell r="AD37">
            <v>4.2722158042064624</v>
          </cell>
          <cell r="AE37">
            <v>4.9106493417668009</v>
          </cell>
          <cell r="AF37">
            <v>4.9111223382358595</v>
          </cell>
          <cell r="AG37">
            <v>3.7946350055917439</v>
          </cell>
          <cell r="AH37">
            <v>4.2064083138439612</v>
          </cell>
          <cell r="AI37">
            <v>4.9106493417668009</v>
          </cell>
          <cell r="AJ37">
            <v>4.9106493417668009</v>
          </cell>
          <cell r="AK37">
            <v>3.7946350055917439</v>
          </cell>
          <cell r="AL37">
            <v>4.2722158042064624</v>
          </cell>
          <cell r="AM37">
            <v>4.2064083138439612</v>
          </cell>
          <cell r="AN37">
            <v>4.2722158042064624</v>
          </cell>
          <cell r="AO37">
            <v>3.6463635423453589</v>
          </cell>
          <cell r="AP37">
            <v>3.6463635423453589</v>
          </cell>
          <cell r="AQ37">
            <v>3.6463635423453589</v>
          </cell>
          <cell r="AR37">
            <v>3.7899144752463663</v>
          </cell>
          <cell r="AS37">
            <v>4.4300198868438052</v>
          </cell>
          <cell r="AT37">
            <v>4.1098131196895542</v>
          </cell>
          <cell r="AU37">
            <v>4.7585113835252848</v>
          </cell>
          <cell r="AV37">
            <v>4.7440434389691433</v>
          </cell>
          <cell r="AW37">
            <v>4.4366324486611939</v>
          </cell>
          <cell r="AX37">
            <v>4.2260167055323672</v>
          </cell>
          <cell r="AY37">
            <v>4.2722158042064624</v>
          </cell>
          <cell r="AZ37">
            <v>4.2425284872055977</v>
          </cell>
          <cell r="BA37">
            <v>4.8365259002659675</v>
          </cell>
          <cell r="BB37">
            <v>4.6677844627393279</v>
          </cell>
          <cell r="BC37">
            <v>4.2130857250057572</v>
          </cell>
          <cell r="BD37">
            <v>4.2636672922468675</v>
          </cell>
          <cell r="BE37">
            <v>1.8793512234916083</v>
          </cell>
          <cell r="BF37">
            <v>1.8793512234916088</v>
          </cell>
          <cell r="BG37">
            <v>1.8793512234916088</v>
          </cell>
          <cell r="BH37">
            <v>1.879351223491609</v>
          </cell>
          <cell r="BI37">
            <v>1.8793512234916088</v>
          </cell>
          <cell r="BJ37">
            <v>1.8793512234916085</v>
          </cell>
          <cell r="BK37">
            <v>2.4869168736966762</v>
          </cell>
          <cell r="BL37">
            <v>1.879351223491609</v>
          </cell>
          <cell r="BM37">
            <v>2.9755521042599797</v>
          </cell>
          <cell r="BN37">
            <v>1.879351223491609</v>
          </cell>
          <cell r="BO37">
            <v>1.879351223491609</v>
          </cell>
          <cell r="BP37">
            <v>1.879351223491609</v>
          </cell>
          <cell r="BQ37">
            <v>1.8793512234916083</v>
          </cell>
          <cell r="BR37">
            <v>1.8793512234916083</v>
          </cell>
          <cell r="BS37">
            <v>1.8793512234916083</v>
          </cell>
          <cell r="BT37">
            <v>1.8793512234916083</v>
          </cell>
          <cell r="BU37">
            <v>1.8793512234916083</v>
          </cell>
          <cell r="BV37">
            <v>2.6605243687816782</v>
          </cell>
          <cell r="BW37">
            <v>1.87386673548531</v>
          </cell>
          <cell r="BX37">
            <v>2.6179327740031528</v>
          </cell>
          <cell r="BY37">
            <v>1.87386673548531</v>
          </cell>
          <cell r="BZ37">
            <v>2.6179327740031528</v>
          </cell>
          <cell r="CA37">
            <v>1.87386673548531</v>
          </cell>
          <cell r="CB37">
            <v>2.6179327740031528</v>
          </cell>
          <cell r="CC37">
            <v>1.879351223491609</v>
          </cell>
          <cell r="CD37">
            <v>1.879351223491609</v>
          </cell>
        </row>
        <row r="38">
          <cell r="B38">
            <v>3.825012801032619</v>
          </cell>
          <cell r="C38">
            <v>4.2652980302377763</v>
          </cell>
          <cell r="D38">
            <v>4.3320268254653529</v>
          </cell>
          <cell r="E38">
            <v>4.3311680587075934</v>
          </cell>
          <cell r="F38">
            <v>4.3311680587075934</v>
          </cell>
          <cell r="G38">
            <v>3.6974126319381941</v>
          </cell>
          <cell r="H38">
            <v>5.9886674909073951</v>
          </cell>
          <cell r="I38">
            <v>3.9750952150828773</v>
          </cell>
          <cell r="J38">
            <v>5.1320158674984819</v>
          </cell>
          <cell r="K38">
            <v>3.9750952150828773</v>
          </cell>
          <cell r="L38">
            <v>3.8477598956700283</v>
          </cell>
          <cell r="M38">
            <v>5.1320158674984819</v>
          </cell>
          <cell r="N38">
            <v>3.6974126319381941</v>
          </cell>
          <cell r="O38">
            <v>4.3320268254653529</v>
          </cell>
          <cell r="P38">
            <v>4.3320268254653529</v>
          </cell>
          <cell r="Q38">
            <v>4.3311680587075934</v>
          </cell>
          <cell r="R38">
            <v>5.1320158674984819</v>
          </cell>
          <cell r="S38">
            <v>5.1320158674984819</v>
          </cell>
          <cell r="T38">
            <v>3.8477598956700283</v>
          </cell>
          <cell r="U38">
            <v>4.2652980302377763</v>
          </cell>
          <cell r="V38">
            <v>5.9886674909073951</v>
          </cell>
          <cell r="W38">
            <v>4.3320268254653529</v>
          </cell>
          <cell r="X38">
            <v>4.3320268254653529</v>
          </cell>
          <cell r="Y38">
            <v>4.3320268254653529</v>
          </cell>
          <cell r="Z38">
            <v>4.9793984325515366</v>
          </cell>
          <cell r="AA38">
            <v>4.0894689310136743</v>
          </cell>
          <cell r="AB38">
            <v>2.2579097583358809</v>
          </cell>
          <cell r="AC38">
            <v>4.2652980302377763</v>
          </cell>
          <cell r="AD38">
            <v>4.3320268254653529</v>
          </cell>
          <cell r="AE38">
            <v>5.1320158674984819</v>
          </cell>
          <cell r="AF38">
            <v>5.1325101861141142</v>
          </cell>
          <cell r="AG38">
            <v>3.8477598956700283</v>
          </cell>
          <cell r="AH38">
            <v>4.2652980302377763</v>
          </cell>
          <cell r="AI38">
            <v>5.1320158674984819</v>
          </cell>
          <cell r="AJ38">
            <v>5.1320158674984819</v>
          </cell>
          <cell r="AK38">
            <v>3.8477598956700283</v>
          </cell>
          <cell r="AL38">
            <v>4.3320268254653529</v>
          </cell>
          <cell r="AM38">
            <v>4.2652980302377763</v>
          </cell>
          <cell r="AN38">
            <v>4.3320268254653529</v>
          </cell>
          <cell r="AO38">
            <v>3.6974126319381941</v>
          </cell>
          <cell r="AP38">
            <v>3.6974126319381941</v>
          </cell>
          <cell r="AQ38">
            <v>3.6974126319381941</v>
          </cell>
          <cell r="AR38">
            <v>3.8441746977637425</v>
          </cell>
          <cell r="AS38">
            <v>4.5124362011234522</v>
          </cell>
          <cell r="AT38">
            <v>4.2250837174350444</v>
          </cell>
          <cell r="AU38">
            <v>4.9671632912415928</v>
          </cell>
          <cell r="AV38">
            <v>4.9381426642208703</v>
          </cell>
          <cell r="AW38">
            <v>4.29694244168358</v>
          </cell>
          <cell r="AX38">
            <v>4.3035685150368952</v>
          </cell>
          <cell r="AY38">
            <v>4.3320268254653529</v>
          </cell>
          <cell r="AZ38">
            <v>4.3291515291701774</v>
          </cell>
          <cell r="BA38">
            <v>5.0458328267752188</v>
          </cell>
          <cell r="BB38">
            <v>4.8514230900963451</v>
          </cell>
          <cell r="BC38">
            <v>4.2957804965201527</v>
          </cell>
          <cell r="BD38">
            <v>4.3185904892678062</v>
          </cell>
          <cell r="BE38">
            <v>1.9113001942909655</v>
          </cell>
          <cell r="BF38">
            <v>1.911300194290966</v>
          </cell>
          <cell r="BG38">
            <v>1.911300194290966</v>
          </cell>
          <cell r="BH38">
            <v>1.9113001942909662</v>
          </cell>
          <cell r="BI38">
            <v>1.911300194290966</v>
          </cell>
          <cell r="BJ38">
            <v>1.9113001942909655</v>
          </cell>
          <cell r="BK38">
            <v>2.5441159617916993</v>
          </cell>
          <cell r="BL38">
            <v>1.9113001942909662</v>
          </cell>
          <cell r="BM38">
            <v>3.0410142505536997</v>
          </cell>
          <cell r="BN38">
            <v>1.9113001942909662</v>
          </cell>
          <cell r="BO38">
            <v>1.9113001942909662</v>
          </cell>
          <cell r="BP38">
            <v>1.9113001942909662</v>
          </cell>
          <cell r="BQ38">
            <v>1.9113001942909655</v>
          </cell>
          <cell r="BR38">
            <v>1.9113001942909655</v>
          </cell>
          <cell r="BS38">
            <v>1.9113001942909655</v>
          </cell>
          <cell r="BT38">
            <v>1.9113001942909655</v>
          </cell>
          <cell r="BU38">
            <v>1.9113001942909655</v>
          </cell>
          <cell r="BV38">
            <v>2.7350190511075652</v>
          </cell>
          <cell r="BW38">
            <v>1.90572246998856</v>
          </cell>
          <cell r="BX38">
            <v>2.6900687338046354</v>
          </cell>
          <cell r="BY38">
            <v>1.90572246998856</v>
          </cell>
          <cell r="BZ38">
            <v>2.6900687338046354</v>
          </cell>
          <cell r="CA38">
            <v>1.90572246998856</v>
          </cell>
          <cell r="CB38">
            <v>2.6900687338046354</v>
          </cell>
          <cell r="CC38">
            <v>1.9113001942909662</v>
          </cell>
          <cell r="CD38">
            <v>1.9113001942909662</v>
          </cell>
        </row>
        <row r="39">
          <cell r="B39">
            <v>3.8938630314512062</v>
          </cell>
          <cell r="C39">
            <v>4.342073394782056</v>
          </cell>
          <cell r="D39">
            <v>4.4100033083237289</v>
          </cell>
          <cell r="E39">
            <v>4.4091290837643298</v>
          </cell>
          <cell r="F39">
            <v>4.4091290837643298</v>
          </cell>
          <cell r="G39">
            <v>3.7639660593130815</v>
          </cell>
          <cell r="H39">
            <v>6.0964635057437286</v>
          </cell>
          <cell r="I39">
            <v>4.026771452878954</v>
          </cell>
          <cell r="J39">
            <v>5.3355230835878373</v>
          </cell>
          <cell r="K39">
            <v>4.026771452878954</v>
          </cell>
          <cell r="L39">
            <v>3.9170195737920888</v>
          </cell>
          <cell r="M39">
            <v>5.3355230835878373</v>
          </cell>
          <cell r="N39">
            <v>3.7639660593130815</v>
          </cell>
          <cell r="O39">
            <v>4.4100033083237289</v>
          </cell>
          <cell r="P39">
            <v>4.4100033083237289</v>
          </cell>
          <cell r="Q39">
            <v>4.4091290837643298</v>
          </cell>
          <cell r="R39">
            <v>5.3355230835878373</v>
          </cell>
          <cell r="S39">
            <v>5.3355230835878373</v>
          </cell>
          <cell r="T39">
            <v>3.9170195737920888</v>
          </cell>
          <cell r="U39">
            <v>4.342073394782056</v>
          </cell>
          <cell r="V39">
            <v>6.0964635057437286</v>
          </cell>
          <cell r="W39">
            <v>4.4100033083237289</v>
          </cell>
          <cell r="X39">
            <v>4.4100033083237289</v>
          </cell>
          <cell r="Y39">
            <v>4.4100033083237289</v>
          </cell>
          <cell r="Z39">
            <v>5.0690276043374647</v>
          </cell>
          <cell r="AA39">
            <v>4.2516345320019981</v>
          </cell>
          <cell r="AB39">
            <v>3.6781349963291499</v>
          </cell>
          <cell r="AC39">
            <v>4.342073394782056</v>
          </cell>
          <cell r="AD39">
            <v>4.4100033083237289</v>
          </cell>
          <cell r="AE39">
            <v>5.3355230835878373</v>
          </cell>
          <cell r="AF39">
            <v>5.3360370041314305</v>
          </cell>
          <cell r="AG39">
            <v>3.9170195737920888</v>
          </cell>
          <cell r="AH39">
            <v>4.342073394782056</v>
          </cell>
          <cell r="AI39">
            <v>5.3355230835878373</v>
          </cell>
          <cell r="AJ39">
            <v>5.3355230835878373</v>
          </cell>
          <cell r="AK39">
            <v>3.9170195737920888</v>
          </cell>
          <cell r="AL39">
            <v>4.4100033083237289</v>
          </cell>
          <cell r="AM39">
            <v>4.342073394782056</v>
          </cell>
          <cell r="AN39">
            <v>4.4100033083237289</v>
          </cell>
          <cell r="AO39">
            <v>3.7639660593130815</v>
          </cell>
          <cell r="AP39">
            <v>3.7639660593130815</v>
          </cell>
          <cell r="AQ39">
            <v>3.7639660593130815</v>
          </cell>
          <cell r="AR39">
            <v>3.9142462398400126</v>
          </cell>
          <cell r="AS39">
            <v>4.7730976452585034</v>
          </cell>
          <cell r="AT39">
            <v>4.3415841021426242</v>
          </cell>
          <cell r="AU39">
            <v>5.1599838943421705</v>
          </cell>
          <cell r="AV39">
            <v>5.1195285006840665</v>
          </cell>
          <cell r="AW39">
            <v>4.6792173800842649</v>
          </cell>
          <cell r="AX39">
            <v>4.3940795396678745</v>
          </cell>
          <cell r="AY39">
            <v>4.4100033083237289</v>
          </cell>
          <cell r="AZ39">
            <v>4.4250282484780126</v>
          </cell>
          <cell r="BA39">
            <v>5.2417392906177929</v>
          </cell>
          <cell r="BB39">
            <v>5.0438035566864396</v>
          </cell>
          <cell r="BC39">
            <v>4.4120239092994211</v>
          </cell>
          <cell r="BD39">
            <v>4.4247632734376667</v>
          </cell>
          <cell r="BE39">
            <v>1.9437922975939117</v>
          </cell>
          <cell r="BF39">
            <v>1.9437922975939121</v>
          </cell>
          <cell r="BG39">
            <v>1.9437922975939121</v>
          </cell>
          <cell r="BH39">
            <v>1.9437922975939124</v>
          </cell>
          <cell r="BI39">
            <v>1.9437922975939121</v>
          </cell>
          <cell r="BJ39">
            <v>1.9437922975939117</v>
          </cell>
          <cell r="BK39">
            <v>2.6026306289129084</v>
          </cell>
          <cell r="BL39">
            <v>1.9437922975939126</v>
          </cell>
          <cell r="BM39">
            <v>3.1079165640658815</v>
          </cell>
          <cell r="BN39">
            <v>1.9437922975939126</v>
          </cell>
          <cell r="BO39">
            <v>1.9437922975939126</v>
          </cell>
          <cell r="BP39">
            <v>1.9437922975939126</v>
          </cell>
          <cell r="BQ39">
            <v>1.9437922975939117</v>
          </cell>
          <cell r="BR39">
            <v>1.9437922975939117</v>
          </cell>
          <cell r="BS39">
            <v>1.9437922975939117</v>
          </cell>
          <cell r="BT39">
            <v>1.9437922975939117</v>
          </cell>
          <cell r="BU39">
            <v>1.9437922975939117</v>
          </cell>
          <cell r="BV39">
            <v>2.8115995845385773</v>
          </cell>
          <cell r="BW39">
            <v>1.9381197519783653</v>
          </cell>
          <cell r="BX39">
            <v>2.7642046757967584</v>
          </cell>
          <cell r="BY39">
            <v>1.9381197519783653</v>
          </cell>
          <cell r="BZ39">
            <v>2.7642046757967584</v>
          </cell>
          <cell r="CA39">
            <v>1.9381197519783653</v>
          </cell>
          <cell r="CB39">
            <v>2.7642046757967584</v>
          </cell>
          <cell r="CC39">
            <v>1.9437922975939126</v>
          </cell>
          <cell r="CD39">
            <v>1.9437922975939126</v>
          </cell>
        </row>
        <row r="40">
          <cell r="B40">
            <v>3.925013935702816</v>
          </cell>
          <cell r="C40">
            <v>4.3768099819403128</v>
          </cell>
          <cell r="D40">
            <v>4.4452833347903189</v>
          </cell>
          <cell r="E40">
            <v>4.4444021164344445</v>
          </cell>
          <cell r="F40">
            <v>4.4444021164344445</v>
          </cell>
          <cell r="G40">
            <v>3.794077787787586</v>
          </cell>
          <cell r="H40">
            <v>6.1452352137896789</v>
          </cell>
          <cell r="I40">
            <v>4.095226567577896</v>
          </cell>
          <cell r="J40">
            <v>5.6621424958215103</v>
          </cell>
          <cell r="K40">
            <v>4.095226567577896</v>
          </cell>
          <cell r="L40">
            <v>3.9483557303824255</v>
          </cell>
          <cell r="M40">
            <v>5.6621424958215103</v>
          </cell>
          <cell r="N40">
            <v>3.794077787787586</v>
          </cell>
          <cell r="O40">
            <v>4.4452833347903189</v>
          </cell>
          <cell r="P40">
            <v>4.4452833347903189</v>
          </cell>
          <cell r="Q40">
            <v>4.4444021164344445</v>
          </cell>
          <cell r="R40">
            <v>5.6621424958215103</v>
          </cell>
          <cell r="S40">
            <v>5.6621424958215103</v>
          </cell>
          <cell r="T40">
            <v>3.9483557303824255</v>
          </cell>
          <cell r="U40">
            <v>4.3768099819403128</v>
          </cell>
          <cell r="V40">
            <v>6.1452352137896789</v>
          </cell>
          <cell r="W40">
            <v>4.4452833347903189</v>
          </cell>
          <cell r="X40">
            <v>4.4452833347903189</v>
          </cell>
          <cell r="Y40">
            <v>4.4452833347903189</v>
          </cell>
          <cell r="Z40">
            <v>5.1095798251721645</v>
          </cell>
          <cell r="AA40">
            <v>4.4379018365558167</v>
          </cell>
          <cell r="AB40">
            <v>3.6413536463658582</v>
          </cell>
          <cell r="AC40">
            <v>4.3768099819403128</v>
          </cell>
          <cell r="AD40">
            <v>4.4452833347903189</v>
          </cell>
          <cell r="AE40">
            <v>5.6621424958215103</v>
          </cell>
          <cell r="AF40">
            <v>5.6626878765281008</v>
          </cell>
          <cell r="AG40">
            <v>3.9483557303824255</v>
          </cell>
          <cell r="AH40">
            <v>4.3768099819403128</v>
          </cell>
          <cell r="AI40">
            <v>5.6621424958215103</v>
          </cell>
          <cell r="AJ40">
            <v>5.6621424958215103</v>
          </cell>
          <cell r="AK40">
            <v>3.9483557303824255</v>
          </cell>
          <cell r="AL40">
            <v>4.4452833347903189</v>
          </cell>
          <cell r="AM40">
            <v>4.3768099819403128</v>
          </cell>
          <cell r="AN40">
            <v>4.4452833347903189</v>
          </cell>
          <cell r="AO40">
            <v>3.794077787787586</v>
          </cell>
          <cell r="AP40">
            <v>3.794077787787586</v>
          </cell>
          <cell r="AQ40">
            <v>3.794077787787586</v>
          </cell>
          <cell r="AR40">
            <v>3.9467752394581197</v>
          </cell>
          <cell r="AS40">
            <v>4.8726373905419749</v>
          </cell>
          <cell r="AT40">
            <v>4.4385276987941129</v>
          </cell>
          <cell r="AU40">
            <v>5.4663794878716416</v>
          </cell>
          <cell r="AV40">
            <v>5.3943016323043418</v>
          </cell>
          <cell r="AW40">
            <v>4.7349399570646851</v>
          </cell>
          <cell r="AX40">
            <v>4.4512619167378116</v>
          </cell>
          <cell r="AY40">
            <v>4.4452833347903189</v>
          </cell>
          <cell r="AZ40">
            <v>4.4865495200012422</v>
          </cell>
          <cell r="BA40">
            <v>5.5510766579494231</v>
          </cell>
          <cell r="BB40">
            <v>5.3496642799566612</v>
          </cell>
          <cell r="BC40">
            <v>4.4831542060348379</v>
          </cell>
          <cell r="BD40">
            <v>4.4689849859045383</v>
          </cell>
          <cell r="BE40">
            <v>1.9768367666530082</v>
          </cell>
          <cell r="BF40">
            <v>1.9768367666530087</v>
          </cell>
          <cell r="BG40">
            <v>1.9768367666530087</v>
          </cell>
          <cell r="BH40">
            <v>1.9768367666530087</v>
          </cell>
          <cell r="BI40">
            <v>1.9768367666530087</v>
          </cell>
          <cell r="BJ40">
            <v>1.976836766653008</v>
          </cell>
          <cell r="BK40">
            <v>2.6624911333779049</v>
          </cell>
          <cell r="BL40">
            <v>1.9768367666530089</v>
          </cell>
          <cell r="BM40">
            <v>3.1762907284753306</v>
          </cell>
          <cell r="BN40">
            <v>1.9768367666530089</v>
          </cell>
          <cell r="BO40">
            <v>1.9768367666530089</v>
          </cell>
          <cell r="BP40">
            <v>1.9768367666530089</v>
          </cell>
          <cell r="BQ40">
            <v>1.9768367666530082</v>
          </cell>
          <cell r="BR40">
            <v>1.9768367666530082</v>
          </cell>
          <cell r="BS40">
            <v>1.9768367666530082</v>
          </cell>
          <cell r="BT40">
            <v>1.9768367666530082</v>
          </cell>
          <cell r="BU40">
            <v>1.9768367666530082</v>
          </cell>
          <cell r="BV40">
            <v>2.8903243729056576</v>
          </cell>
          <cell r="BW40">
            <v>1.9710677877619971</v>
          </cell>
          <cell r="BX40">
            <v>2.8403962624612369</v>
          </cell>
          <cell r="BY40">
            <v>1.9710677877619971</v>
          </cell>
          <cell r="BZ40">
            <v>2.8403962624612369</v>
          </cell>
          <cell r="CA40">
            <v>1.9710677877619971</v>
          </cell>
          <cell r="CB40">
            <v>2.8403962624612369</v>
          </cell>
          <cell r="CC40">
            <v>1.9768367666530089</v>
          </cell>
          <cell r="CD40">
            <v>1.9768367666530089</v>
          </cell>
        </row>
        <row r="41">
          <cell r="B41">
            <v>3.9642640750598441</v>
          </cell>
          <cell r="C41">
            <v>4.4205780817597162</v>
          </cell>
          <cell r="D41">
            <v>4.4897361681382222</v>
          </cell>
          <cell r="E41">
            <v>4.4888461375987889</v>
          </cell>
          <cell r="F41">
            <v>4.4888461375987889</v>
          </cell>
          <cell r="G41">
            <v>3.8320185656654617</v>
          </cell>
          <cell r="H41">
            <v>6.2066875659275755</v>
          </cell>
          <cell r="I41">
            <v>4.2221785911728107</v>
          </cell>
          <cell r="J41">
            <v>5.95787268561575</v>
          </cell>
          <cell r="K41">
            <v>4.2221785911728107</v>
          </cell>
          <cell r="L41">
            <v>3.9878392876862496</v>
          </cell>
          <cell r="M41">
            <v>5.95787268561575</v>
          </cell>
          <cell r="N41">
            <v>3.8320185656654617</v>
          </cell>
          <cell r="O41">
            <v>4.4897361681382222</v>
          </cell>
          <cell r="P41">
            <v>4.4897361681382222</v>
          </cell>
          <cell r="Q41">
            <v>4.4888461375987889</v>
          </cell>
          <cell r="R41">
            <v>5.95787268561575</v>
          </cell>
          <cell r="S41">
            <v>5.95787268561575</v>
          </cell>
          <cell r="T41">
            <v>3.9878392876862496</v>
          </cell>
          <cell r="U41">
            <v>4.4205780817597162</v>
          </cell>
          <cell r="V41">
            <v>6.2066875659275755</v>
          </cell>
          <cell r="W41">
            <v>4.4897361681382222</v>
          </cell>
          <cell r="X41">
            <v>4.4897361681382222</v>
          </cell>
          <cell r="Y41">
            <v>4.4897361681382222</v>
          </cell>
          <cell r="Z41">
            <v>5.1606756234238862</v>
          </cell>
          <cell r="AA41">
            <v>4.6252181872008533</v>
          </cell>
          <cell r="AB41">
            <v>3.058737062947321</v>
          </cell>
          <cell r="AC41">
            <v>4.4205780817597162</v>
          </cell>
          <cell r="AD41">
            <v>4.4897361681382222</v>
          </cell>
          <cell r="AE41">
            <v>5.95787268561575</v>
          </cell>
          <cell r="AF41">
            <v>5.9584465512182945</v>
          </cell>
          <cell r="AG41">
            <v>3.9878392876862496</v>
          </cell>
          <cell r="AH41">
            <v>4.4205780817597162</v>
          </cell>
          <cell r="AI41">
            <v>5.95787268561575</v>
          </cell>
          <cell r="AJ41">
            <v>5.95787268561575</v>
          </cell>
          <cell r="AK41">
            <v>3.9878392876862496</v>
          </cell>
          <cell r="AL41">
            <v>4.4897361681382222</v>
          </cell>
          <cell r="AM41">
            <v>4.4205780817597162</v>
          </cell>
          <cell r="AN41">
            <v>4.4897361681382222</v>
          </cell>
          <cell r="AO41">
            <v>3.8320185656654617</v>
          </cell>
          <cell r="AP41">
            <v>3.8320185656654617</v>
          </cell>
          <cell r="AQ41">
            <v>3.8320185656654617</v>
          </cell>
          <cell r="AR41">
            <v>3.9872065168393407</v>
          </cell>
          <cell r="AS41">
            <v>4.9506596015960467</v>
          </cell>
          <cell r="AT41">
            <v>4.5368282678683816</v>
          </cell>
          <cell r="AU41">
            <v>5.7204640677363106</v>
          </cell>
          <cell r="AV41">
            <v>5.6324561093143064</v>
          </cell>
          <cell r="AW41">
            <v>4.7455958815638191</v>
          </cell>
          <cell r="AX41">
            <v>4.5158460052148701</v>
          </cell>
          <cell r="AY41">
            <v>4.4897361681382222</v>
          </cell>
          <cell r="AZ41">
            <v>4.5520500892682509</v>
          </cell>
          <cell r="BA41">
            <v>5.8321918280919496</v>
          </cell>
          <cell r="BB41">
            <v>5.627396263176732</v>
          </cell>
          <cell r="BC41">
            <v>4.5288125043917855</v>
          </cell>
          <cell r="BD41">
            <v>4.5001524448181289</v>
          </cell>
          <cell r="BE41">
            <v>2.0104429916861091</v>
          </cell>
          <cell r="BF41">
            <v>2.0104429916861095</v>
          </cell>
          <cell r="BG41">
            <v>2.0104429916861095</v>
          </cell>
          <cell r="BH41">
            <v>2.0104429916861095</v>
          </cell>
          <cell r="BI41">
            <v>2.0104429916861095</v>
          </cell>
          <cell r="BJ41">
            <v>2.0104429916861091</v>
          </cell>
          <cell r="BK41">
            <v>2.7237284294455963</v>
          </cell>
          <cell r="BL41">
            <v>2.01044299168611</v>
          </cell>
          <cell r="BM41">
            <v>3.2461691245017881</v>
          </cell>
          <cell r="BN41">
            <v>2.01044299168611</v>
          </cell>
          <cell r="BO41">
            <v>2.01044299168611</v>
          </cell>
          <cell r="BP41">
            <v>2.01044299168611</v>
          </cell>
          <cell r="BQ41">
            <v>2.0104429916861091</v>
          </cell>
          <cell r="BR41">
            <v>2.0104429916861091</v>
          </cell>
          <cell r="BS41">
            <v>2.0104429916861091</v>
          </cell>
          <cell r="BT41">
            <v>2.0104429916861091</v>
          </cell>
          <cell r="BU41">
            <v>2.0104429916861091</v>
          </cell>
          <cell r="BV41">
            <v>2.971253455347016</v>
          </cell>
          <cell r="BW41">
            <v>2.0045759401539507</v>
          </cell>
          <cell r="BX41">
            <v>2.9187007090999373</v>
          </cell>
          <cell r="BY41">
            <v>2.0045759401539507</v>
          </cell>
          <cell r="BZ41">
            <v>2.9187007090999373</v>
          </cell>
          <cell r="CA41">
            <v>2.0045759401539507</v>
          </cell>
          <cell r="CB41">
            <v>2.9187007090999373</v>
          </cell>
          <cell r="CC41">
            <v>2.01044299168611</v>
          </cell>
          <cell r="CD41">
            <v>2.01044299168611</v>
          </cell>
        </row>
        <row r="42">
          <cell r="B42">
            <v>4.0435493565610408</v>
          </cell>
          <cell r="C42">
            <v>4.5089896433949104</v>
          </cell>
          <cell r="D42">
            <v>4.5795308915009869</v>
          </cell>
          <cell r="E42">
            <v>4.5786230603507647</v>
          </cell>
          <cell r="F42">
            <v>4.5786230603507647</v>
          </cell>
          <cell r="G42">
            <v>3.908658936978771</v>
          </cell>
          <cell r="H42">
            <v>6.3308213172461274</v>
          </cell>
          <cell r="I42">
            <v>4.3783991990462043</v>
          </cell>
          <cell r="J42">
            <v>6.2130375389369243</v>
          </cell>
          <cell r="K42">
            <v>4.3783991990462043</v>
          </cell>
          <cell r="L42">
            <v>4.067596073439975</v>
          </cell>
          <cell r="M42">
            <v>6.2130375389369243</v>
          </cell>
          <cell r="N42">
            <v>3.908658936978771</v>
          </cell>
          <cell r="O42">
            <v>4.5795308915009869</v>
          </cell>
          <cell r="P42">
            <v>4.5795308915009869</v>
          </cell>
          <cell r="Q42">
            <v>4.5786230603507647</v>
          </cell>
          <cell r="R42">
            <v>6.2130375389369243</v>
          </cell>
          <cell r="S42">
            <v>6.2130375389369243</v>
          </cell>
          <cell r="T42">
            <v>4.067596073439975</v>
          </cell>
          <cell r="U42">
            <v>4.5089896433949104</v>
          </cell>
          <cell r="V42">
            <v>6.3308213172461274</v>
          </cell>
          <cell r="W42">
            <v>4.5795308915009869</v>
          </cell>
          <cell r="X42">
            <v>4.5795308915009869</v>
          </cell>
          <cell r="Y42">
            <v>4.5795308915009869</v>
          </cell>
          <cell r="Z42">
            <v>5.2638891358923638</v>
          </cell>
          <cell r="AA42">
            <v>4.8148521328760872</v>
          </cell>
          <cell r="AB42">
            <v>3.3126122391719486</v>
          </cell>
          <cell r="AC42">
            <v>4.5089896433949104</v>
          </cell>
          <cell r="AD42">
            <v>4.5795308915009869</v>
          </cell>
          <cell r="AE42">
            <v>6.2130375389369243</v>
          </cell>
          <cell r="AF42">
            <v>6.2136359821597082</v>
          </cell>
          <cell r="AG42">
            <v>4.067596073439975</v>
          </cell>
          <cell r="AH42">
            <v>4.5089896433949104</v>
          </cell>
          <cell r="AI42">
            <v>6.2130375389369243</v>
          </cell>
          <cell r="AJ42">
            <v>6.2130375389369243</v>
          </cell>
          <cell r="AK42">
            <v>4.067596073439975</v>
          </cell>
          <cell r="AL42">
            <v>4.5795308915009869</v>
          </cell>
          <cell r="AM42">
            <v>4.5089896433949104</v>
          </cell>
          <cell r="AN42">
            <v>4.5795308915009869</v>
          </cell>
          <cell r="AO42">
            <v>3.908658936978771</v>
          </cell>
          <cell r="AP42">
            <v>3.908658936978771</v>
          </cell>
          <cell r="AQ42">
            <v>3.908658936978771</v>
          </cell>
          <cell r="AR42">
            <v>4.0675672639176215</v>
          </cell>
          <cell r="AS42">
            <v>5.1004458350542183</v>
          </cell>
          <cell r="AT42">
            <v>4.6652952704921207</v>
          </cell>
          <cell r="AU42">
            <v>5.9521131672815546</v>
          </cell>
          <cell r="AV42">
            <v>5.8499874429630898</v>
          </cell>
          <cell r="AW42">
            <v>4.8862364975060224</v>
          </cell>
          <cell r="AX42">
            <v>4.6194395125744991</v>
          </cell>
          <cell r="AY42">
            <v>4.5795308915009869</v>
          </cell>
          <cell r="AZ42">
            <v>4.6593901967791558</v>
          </cell>
          <cell r="BA42">
            <v>6.0763264708111659</v>
          </cell>
          <cell r="BB42">
            <v>5.8679589651401765</v>
          </cell>
          <cell r="BC42">
            <v>4.6416312380548783</v>
          </cell>
          <cell r="BD42">
            <v>4.597680286146864</v>
          </cell>
          <cell r="BE42">
            <v>2.0446205225447724</v>
          </cell>
          <cell r="BF42">
            <v>2.0446205225447733</v>
          </cell>
          <cell r="BG42">
            <v>2.0446205225447733</v>
          </cell>
          <cell r="BH42">
            <v>2.0446205225447733</v>
          </cell>
          <cell r="BI42">
            <v>2.0446205225447733</v>
          </cell>
          <cell r="BJ42">
            <v>2.0446205225447724</v>
          </cell>
          <cell r="BK42">
            <v>2.7863741833228444</v>
          </cell>
          <cell r="BL42">
            <v>2.0446205225447733</v>
          </cell>
          <cell r="BM42">
            <v>3.3175848452408276</v>
          </cell>
          <cell r="BN42">
            <v>2.0446205225447733</v>
          </cell>
          <cell r="BO42">
            <v>2.0446205225447733</v>
          </cell>
          <cell r="BP42">
            <v>2.0446205225447733</v>
          </cell>
          <cell r="BQ42">
            <v>2.0446205225447724</v>
          </cell>
          <cell r="BR42">
            <v>2.0446205225447724</v>
          </cell>
          <cell r="BS42">
            <v>2.0446205225447724</v>
          </cell>
          <cell r="BT42">
            <v>2.0446205225447724</v>
          </cell>
          <cell r="BU42">
            <v>2.0446205225447724</v>
          </cell>
          <cell r="BV42">
            <v>3.0544485520967326</v>
          </cell>
          <cell r="BW42">
            <v>2.0386537311365678</v>
          </cell>
          <cell r="BX42">
            <v>2.9991768272164472</v>
          </cell>
          <cell r="BY42">
            <v>2.0386537311365678</v>
          </cell>
          <cell r="BZ42">
            <v>2.9991768272164472</v>
          </cell>
          <cell r="CA42">
            <v>2.0386537311365678</v>
          </cell>
          <cell r="CB42">
            <v>2.9991768272164472</v>
          </cell>
          <cell r="CC42">
            <v>2.0446205225447733</v>
          </cell>
          <cell r="CD42">
            <v>2.0446205225447733</v>
          </cell>
        </row>
        <row r="43">
          <cell r="B43">
            <v>4.1567687385447503</v>
          </cell>
          <cell r="C43">
            <v>4.6352413534099677</v>
          </cell>
          <cell r="D43">
            <v>4.7077577564630149</v>
          </cell>
          <cell r="E43">
            <v>4.7068245060405864</v>
          </cell>
          <cell r="F43">
            <v>4.7068245060405864</v>
          </cell>
          <cell r="G43">
            <v>4.0181013872141769</v>
          </cell>
          <cell r="H43">
            <v>6.508084314129019</v>
          </cell>
          <cell r="I43">
            <v>4.5666703646051907</v>
          </cell>
          <cell r="J43">
            <v>6.4402852806098974</v>
          </cell>
          <cell r="K43">
            <v>4.5666703646051907</v>
          </cell>
          <cell r="L43">
            <v>4.1814887634962945</v>
          </cell>
          <cell r="M43">
            <v>6.4402852806098974</v>
          </cell>
          <cell r="N43">
            <v>4.0181013872141769</v>
          </cell>
          <cell r="O43">
            <v>4.7077577564630149</v>
          </cell>
          <cell r="P43">
            <v>4.7077577564630149</v>
          </cell>
          <cell r="Q43">
            <v>4.7068245060405864</v>
          </cell>
          <cell r="R43">
            <v>6.4402852806098974</v>
          </cell>
          <cell r="S43">
            <v>6.4402852806098974</v>
          </cell>
          <cell r="T43">
            <v>4.1814887634962945</v>
          </cell>
          <cell r="U43">
            <v>4.6352413534099677</v>
          </cell>
          <cell r="V43">
            <v>6.508084314129019</v>
          </cell>
          <cell r="W43">
            <v>4.7077577564630149</v>
          </cell>
          <cell r="X43">
            <v>4.7077577564630149</v>
          </cell>
          <cell r="Y43">
            <v>4.7077577564630149</v>
          </cell>
          <cell r="Z43">
            <v>5.4112780316973499</v>
          </cell>
          <cell r="AA43">
            <v>4.9903787760562812</v>
          </cell>
          <cell r="AB43">
            <v>4.4057742780986917</v>
          </cell>
          <cell r="AC43">
            <v>4.6352413534099677</v>
          </cell>
          <cell r="AD43">
            <v>4.7077577564630149</v>
          </cell>
          <cell r="AE43">
            <v>6.4402852806098974</v>
          </cell>
          <cell r="AF43">
            <v>6.4409056124612372</v>
          </cell>
          <cell r="AG43">
            <v>4.1814887634962945</v>
          </cell>
          <cell r="AH43">
            <v>4.6352413534099677</v>
          </cell>
          <cell r="AI43">
            <v>6.4402852806098974</v>
          </cell>
          <cell r="AJ43">
            <v>6.4402852806098974</v>
          </cell>
          <cell r="AK43">
            <v>4.1814887634962945</v>
          </cell>
          <cell r="AL43">
            <v>4.7077577564630149</v>
          </cell>
          <cell r="AM43">
            <v>4.6352413534099677</v>
          </cell>
          <cell r="AN43">
            <v>4.7077577564630149</v>
          </cell>
          <cell r="AO43">
            <v>4.0181013872141769</v>
          </cell>
          <cell r="AP43">
            <v>4.0181013872141769</v>
          </cell>
          <cell r="AQ43">
            <v>4.0181013872141769</v>
          </cell>
          <cell r="AR43">
            <v>4.1816883924668442</v>
          </cell>
          <cell r="AS43">
            <v>5.3085251815353001</v>
          </cell>
          <cell r="AT43">
            <v>4.8104639797177926</v>
          </cell>
          <cell r="AU43">
            <v>6.1624360380478249</v>
          </cell>
          <cell r="AV43">
            <v>6.053394321492287</v>
          </cell>
          <cell r="AW43">
            <v>5.1323723363200315</v>
          </cell>
          <cell r="AX43">
            <v>4.7542520118246445</v>
          </cell>
          <cell r="AY43">
            <v>4.7077577564630149</v>
          </cell>
          <cell r="AZ43">
            <v>4.7960230338035164</v>
          </cell>
          <cell r="BA43">
            <v>6.2903552307417732</v>
          </cell>
          <cell r="BB43">
            <v>6.071207287168308</v>
          </cell>
          <cell r="BC43">
            <v>4.7948980653336584</v>
          </cell>
          <cell r="BD43">
            <v>4.7494336372394264</v>
          </cell>
          <cell r="BE43">
            <v>2.0793790714280336</v>
          </cell>
          <cell r="BF43">
            <v>2.0793790714280345</v>
          </cell>
          <cell r="BG43">
            <v>2.0793790714280345</v>
          </cell>
          <cell r="BH43">
            <v>2.079379071428034</v>
          </cell>
          <cell r="BI43">
            <v>2.0793790714280345</v>
          </cell>
          <cell r="BJ43">
            <v>2.0793790714280331</v>
          </cell>
          <cell r="BK43">
            <v>2.8504607895392695</v>
          </cell>
          <cell r="BL43">
            <v>2.0793790714280345</v>
          </cell>
          <cell r="BM43">
            <v>3.3905717118361256</v>
          </cell>
          <cell r="BN43">
            <v>2.0793790714280345</v>
          </cell>
          <cell r="BO43">
            <v>2.0793790714280345</v>
          </cell>
          <cell r="BP43">
            <v>2.0793790714280345</v>
          </cell>
          <cell r="BQ43">
            <v>2.0793790714280336</v>
          </cell>
          <cell r="BR43">
            <v>2.0793790714280336</v>
          </cell>
          <cell r="BS43">
            <v>2.0793790714280336</v>
          </cell>
          <cell r="BT43">
            <v>2.0793790714280336</v>
          </cell>
          <cell r="BU43">
            <v>2.0793790714280336</v>
          </cell>
          <cell r="BV43">
            <v>3.1399731115554412</v>
          </cell>
          <cell r="BW43">
            <v>2.0733108445658894</v>
          </cell>
          <cell r="BX43">
            <v>3.081885069110669</v>
          </cell>
          <cell r="BY43">
            <v>2.0733108445658894</v>
          </cell>
          <cell r="BZ43">
            <v>3.081885069110669</v>
          </cell>
          <cell r="CA43">
            <v>2.0733108445658894</v>
          </cell>
          <cell r="CB43">
            <v>3.081885069110669</v>
          </cell>
          <cell r="CC43">
            <v>2.0793790714280345</v>
          </cell>
          <cell r="CD43">
            <v>2.0793790714280345</v>
          </cell>
        </row>
        <row r="44">
          <cell r="B44">
            <v>4.2856285694396368</v>
          </cell>
          <cell r="C44">
            <v>4.7789338353656765</v>
          </cell>
          <cell r="D44">
            <v>4.8536982469133676</v>
          </cell>
          <cell r="E44">
            <v>4.8527360657278447</v>
          </cell>
          <cell r="F44">
            <v>4.8527360657278447</v>
          </cell>
          <cell r="G44">
            <v>4.1426625302178159</v>
          </cell>
          <cell r="H44">
            <v>6.7098349278670177</v>
          </cell>
          <cell r="I44">
            <v>4.7904372124708443</v>
          </cell>
          <cell r="J44">
            <v>6.6462096763483762</v>
          </cell>
          <cell r="K44">
            <v>4.7904372124708443</v>
          </cell>
          <cell r="L44">
            <v>4.311114915164679</v>
          </cell>
          <cell r="M44">
            <v>6.6462096763483762</v>
          </cell>
          <cell r="N44">
            <v>4.1426625302178159</v>
          </cell>
          <cell r="O44">
            <v>4.8536982469133676</v>
          </cell>
          <cell r="P44">
            <v>4.8536982469133676</v>
          </cell>
          <cell r="Q44">
            <v>4.8527360657278447</v>
          </cell>
          <cell r="R44">
            <v>6.6462096763483762</v>
          </cell>
          <cell r="S44">
            <v>6.6462096763483762</v>
          </cell>
          <cell r="T44">
            <v>4.311114915164679</v>
          </cell>
          <cell r="U44">
            <v>4.7789338353656765</v>
          </cell>
          <cell r="V44">
            <v>6.7098349278670177</v>
          </cell>
          <cell r="W44">
            <v>4.8536982469133676</v>
          </cell>
          <cell r="X44">
            <v>4.8536982469133676</v>
          </cell>
          <cell r="Y44">
            <v>4.8536982469133676</v>
          </cell>
          <cell r="Z44">
            <v>5.5790276506799676</v>
          </cell>
          <cell r="AA44">
            <v>5.1499432501735205</v>
          </cell>
          <cell r="AB44">
            <v>7.0360215221236109</v>
          </cell>
          <cell r="AC44">
            <v>4.7789338353656765</v>
          </cell>
          <cell r="AD44">
            <v>4.8536982469133676</v>
          </cell>
          <cell r="AE44">
            <v>6.6462096763483762</v>
          </cell>
          <cell r="AF44">
            <v>6.6468498429517613</v>
          </cell>
          <cell r="AG44">
            <v>4.311114915164679</v>
          </cell>
          <cell r="AH44">
            <v>4.7789338353656765</v>
          </cell>
          <cell r="AI44">
            <v>6.6462096763483762</v>
          </cell>
          <cell r="AJ44">
            <v>6.6462096763483762</v>
          </cell>
          <cell r="AK44">
            <v>4.311114915164679</v>
          </cell>
          <cell r="AL44">
            <v>4.8536982469133676</v>
          </cell>
          <cell r="AM44">
            <v>4.7789338353656765</v>
          </cell>
          <cell r="AN44">
            <v>4.8536982469133676</v>
          </cell>
          <cell r="AO44">
            <v>4.1426625302178159</v>
          </cell>
          <cell r="AP44">
            <v>4.1426625302178159</v>
          </cell>
          <cell r="AQ44">
            <v>4.1426625302178159</v>
          </cell>
          <cell r="AR44">
            <v>4.3113466995253598</v>
          </cell>
          <cell r="AS44">
            <v>5.7173262948676964</v>
          </cell>
          <cell r="AT44">
            <v>4.9616928404891825</v>
          </cell>
          <cell r="AU44">
            <v>6.359011769026468</v>
          </cell>
          <cell r="AV44">
            <v>6.2465298312746578</v>
          </cell>
          <cell r="AW44">
            <v>5.6479365276795219</v>
          </cell>
          <cell r="AX44">
            <v>4.9022823945022003</v>
          </cell>
          <cell r="AY44">
            <v>4.8536982469133676</v>
          </cell>
          <cell r="AZ44">
            <v>4.9453944679750199</v>
          </cell>
          <cell r="BA44">
            <v>6.4912186334457385</v>
          </cell>
          <cell r="BB44">
            <v>6.2655236080258945</v>
          </cell>
          <cell r="BC44">
            <v>5.1279339738822811</v>
          </cell>
          <cell r="BD44">
            <v>4.9322064103629897</v>
          </cell>
          <cell r="BE44">
            <v>2.1147285156423101</v>
          </cell>
          <cell r="BF44">
            <v>2.114728515642311</v>
          </cell>
          <cell r="BG44">
            <v>2.114728515642311</v>
          </cell>
          <cell r="BH44">
            <v>2.114728515642311</v>
          </cell>
          <cell r="BI44">
            <v>2.114728515642311</v>
          </cell>
          <cell r="BJ44">
            <v>2.1147285156423097</v>
          </cell>
          <cell r="BK44">
            <v>2.9160213876986725</v>
          </cell>
          <cell r="BL44">
            <v>2.1147285156423106</v>
          </cell>
          <cell r="BM44">
            <v>3.4651642894965202</v>
          </cell>
          <cell r="BN44">
            <v>2.1147285156423106</v>
          </cell>
          <cell r="BO44">
            <v>2.1147285156423106</v>
          </cell>
          <cell r="BP44">
            <v>2.1147285156423106</v>
          </cell>
          <cell r="BQ44">
            <v>2.1147285156423101</v>
          </cell>
          <cell r="BR44">
            <v>2.1147285156423101</v>
          </cell>
          <cell r="BS44">
            <v>2.1147285156423101</v>
          </cell>
          <cell r="BT44">
            <v>2.1147285156423101</v>
          </cell>
          <cell r="BU44">
            <v>2.1147285156423101</v>
          </cell>
          <cell r="BV44">
            <v>3.2278923586789938</v>
          </cell>
          <cell r="BW44">
            <v>2.1085571289235094</v>
          </cell>
          <cell r="BX44">
            <v>3.1668875737203752</v>
          </cell>
          <cell r="BY44">
            <v>2.1085571289235094</v>
          </cell>
          <cell r="BZ44">
            <v>3.1668875737203752</v>
          </cell>
          <cell r="CA44">
            <v>2.1085571289235094</v>
          </cell>
          <cell r="CB44">
            <v>3.1668875737203752</v>
          </cell>
          <cell r="CC44">
            <v>2.1147285156423106</v>
          </cell>
          <cell r="CD44">
            <v>2.1147285156423106</v>
          </cell>
        </row>
        <row r="45">
          <cell r="B45">
            <v>4.4013405408145063</v>
          </cell>
          <cell r="C45">
            <v>4.9079650489205493</v>
          </cell>
          <cell r="D45">
            <v>4.9847480995800284</v>
          </cell>
          <cell r="E45">
            <v>4.9837599395024963</v>
          </cell>
          <cell r="F45">
            <v>4.9837599395024963</v>
          </cell>
          <cell r="G45">
            <v>4.2545144185336969</v>
          </cell>
          <cell r="H45">
            <v>6.891000470919427</v>
          </cell>
          <cell r="I45">
            <v>5.0299590730943864</v>
          </cell>
          <cell r="J45">
            <v>6.8070404810401905</v>
          </cell>
          <cell r="K45">
            <v>5.0299590730943864</v>
          </cell>
          <cell r="L45">
            <v>4.4275150178741249</v>
          </cell>
          <cell r="M45">
            <v>6.8070404810401905</v>
          </cell>
          <cell r="N45">
            <v>4.2545144185336969</v>
          </cell>
          <cell r="O45">
            <v>4.9847480995800284</v>
          </cell>
          <cell r="P45">
            <v>4.9847480995800284</v>
          </cell>
          <cell r="Q45">
            <v>4.9837599395024963</v>
          </cell>
          <cell r="R45">
            <v>6.8070404810401905</v>
          </cell>
          <cell r="S45">
            <v>6.8070404810401905</v>
          </cell>
          <cell r="T45">
            <v>4.4275150178741249</v>
          </cell>
          <cell r="U45">
            <v>4.9079650489205493</v>
          </cell>
          <cell r="V45">
            <v>6.891000470919427</v>
          </cell>
          <cell r="W45">
            <v>4.9847480995800284</v>
          </cell>
          <cell r="X45">
            <v>4.9847480995800284</v>
          </cell>
          <cell r="Y45">
            <v>4.9847480995800284</v>
          </cell>
          <cell r="Z45">
            <v>5.7296613972483259</v>
          </cell>
          <cell r="AA45">
            <v>5.274566088960885</v>
          </cell>
          <cell r="AB45">
            <v>7.1345258234333411</v>
          </cell>
          <cell r="AC45">
            <v>4.9079650489205493</v>
          </cell>
          <cell r="AD45">
            <v>4.9847480995800284</v>
          </cell>
          <cell r="AE45">
            <v>6.8070404810401905</v>
          </cell>
          <cell r="AF45">
            <v>6.8076961389559134</v>
          </cell>
          <cell r="AG45">
            <v>4.4275150178741249</v>
          </cell>
          <cell r="AH45">
            <v>4.9079650489205493</v>
          </cell>
          <cell r="AI45">
            <v>6.8070404810401905</v>
          </cell>
          <cell r="AJ45">
            <v>6.8070404810401905</v>
          </cell>
          <cell r="AK45">
            <v>4.4275150178741249</v>
          </cell>
          <cell r="AL45">
            <v>4.9847480995800284</v>
          </cell>
          <cell r="AM45">
            <v>4.9079650489205493</v>
          </cell>
          <cell r="AN45">
            <v>4.9847480995800284</v>
          </cell>
          <cell r="AO45">
            <v>4.2545144185336969</v>
          </cell>
          <cell r="AP45">
            <v>4.2545144185336969</v>
          </cell>
          <cell r="AQ45">
            <v>4.2545144185336969</v>
          </cell>
          <cell r="AR45">
            <v>4.4276762482251915</v>
          </cell>
          <cell r="AS45">
            <v>5.863283775832369</v>
          </cell>
          <cell r="AT45">
            <v>5.0906236448706483</v>
          </cell>
          <cell r="AU45">
            <v>6.5136342223502988</v>
          </cell>
          <cell r="AV45">
            <v>6.3995092084232326</v>
          </cell>
          <cell r="AW45">
            <v>5.7866187213957696</v>
          </cell>
          <cell r="AX45">
            <v>5.0327215531211635</v>
          </cell>
          <cell r="AY45">
            <v>4.9847480995800284</v>
          </cell>
          <cell r="AZ45">
            <v>5.0769123994294683</v>
          </cell>
          <cell r="BA45">
            <v>6.6494702889253965</v>
          </cell>
          <cell r="BB45">
            <v>6.4192771291538762</v>
          </cell>
          <cell r="BC45">
            <v>5.2608624181530939</v>
          </cell>
          <cell r="BD45">
            <v>5.0625764880099426</v>
          </cell>
          <cell r="BE45">
            <v>2.150678900408229</v>
          </cell>
          <cell r="BF45">
            <v>2.1506789004082303</v>
          </cell>
          <cell r="BG45">
            <v>2.1506789004082303</v>
          </cell>
          <cell r="BH45">
            <v>2.1506789004082298</v>
          </cell>
          <cell r="BI45">
            <v>2.1506789004082303</v>
          </cell>
          <cell r="BJ45">
            <v>2.150678900408229</v>
          </cell>
          <cell r="BK45">
            <v>2.9830898796157417</v>
          </cell>
          <cell r="BL45">
            <v>2.1506789004082298</v>
          </cell>
          <cell r="BM45">
            <v>3.5413979038654437</v>
          </cell>
          <cell r="BN45">
            <v>2.1506789004082298</v>
          </cell>
          <cell r="BO45">
            <v>2.1506789004082298</v>
          </cell>
          <cell r="BP45">
            <v>2.1506789004082298</v>
          </cell>
          <cell r="BQ45">
            <v>2.150678900408229</v>
          </cell>
          <cell r="BR45">
            <v>2.150678900408229</v>
          </cell>
          <cell r="BS45">
            <v>2.150678900408229</v>
          </cell>
          <cell r="BT45">
            <v>2.150678900408229</v>
          </cell>
          <cell r="BU45">
            <v>2.150678900408229</v>
          </cell>
          <cell r="BV45">
            <v>3.3182733447220056</v>
          </cell>
          <cell r="BW45">
            <v>2.144402600115209</v>
          </cell>
          <cell r="BX45">
            <v>3.254248213744622</v>
          </cell>
          <cell r="BY45">
            <v>2.144402600115209</v>
          </cell>
          <cell r="BZ45">
            <v>3.254248213744622</v>
          </cell>
          <cell r="CA45">
            <v>2.144402600115209</v>
          </cell>
          <cell r="CB45">
            <v>3.254248213744622</v>
          </cell>
          <cell r="CC45">
            <v>2.1506789004082298</v>
          </cell>
          <cell r="CD45">
            <v>2.1506789004082298</v>
          </cell>
        </row>
        <row r="46">
          <cell r="B46">
            <v>4.5069727137940543</v>
          </cell>
          <cell r="C46">
            <v>5.0257562100946425</v>
          </cell>
          <cell r="D46">
            <v>5.1043820539699496</v>
          </cell>
          <cell r="E46">
            <v>5.1033701780505565</v>
          </cell>
          <cell r="F46">
            <v>5.1033701780505565</v>
          </cell>
          <cell r="G46">
            <v>4.3566227645785061</v>
          </cell>
          <cell r="H46">
            <v>7.0563844822214934</v>
          </cell>
          <cell r="I46">
            <v>5.2713971086029172</v>
          </cell>
          <cell r="J46">
            <v>7.0235231186701235</v>
          </cell>
          <cell r="K46">
            <v>5.2713971086029172</v>
          </cell>
          <cell r="L46">
            <v>4.5337753783031038</v>
          </cell>
          <cell r="M46">
            <v>7.0235231186701235</v>
          </cell>
          <cell r="N46">
            <v>4.3566227645785061</v>
          </cell>
          <cell r="O46">
            <v>5.1043820539699496</v>
          </cell>
          <cell r="P46">
            <v>5.1043820539699496</v>
          </cell>
          <cell r="Q46">
            <v>5.1033701780505565</v>
          </cell>
          <cell r="R46">
            <v>7.0235231186701235</v>
          </cell>
          <cell r="S46">
            <v>7.0235231186701235</v>
          </cell>
          <cell r="T46">
            <v>4.5337753783031038</v>
          </cell>
          <cell r="U46">
            <v>5.0257562100946425</v>
          </cell>
          <cell r="V46">
            <v>7.0563844822214934</v>
          </cell>
          <cell r="W46">
            <v>5.1043820539699496</v>
          </cell>
          <cell r="X46">
            <v>5.1043820539699496</v>
          </cell>
          <cell r="Y46">
            <v>5.1043820539699496</v>
          </cell>
          <cell r="Z46">
            <v>5.8671732707822857</v>
          </cell>
          <cell r="AA46">
            <v>5.4423118196454725</v>
          </cell>
          <cell r="AB46">
            <v>9.6387443874584431</v>
          </cell>
          <cell r="AC46">
            <v>5.0257562100946425</v>
          </cell>
          <cell r="AD46">
            <v>5.1043820539699496</v>
          </cell>
          <cell r="AE46">
            <v>7.0235231186701235</v>
          </cell>
          <cell r="AF46">
            <v>7.0241996283136086</v>
          </cell>
          <cell r="AG46">
            <v>4.5337753783031038</v>
          </cell>
          <cell r="AH46">
            <v>5.0257562100946425</v>
          </cell>
          <cell r="AI46">
            <v>7.0235231186701235</v>
          </cell>
          <cell r="AJ46">
            <v>7.0235231186701235</v>
          </cell>
          <cell r="AK46">
            <v>4.5337753783031038</v>
          </cell>
          <cell r="AL46">
            <v>5.1043820539699496</v>
          </cell>
          <cell r="AM46">
            <v>5.0257562100946425</v>
          </cell>
          <cell r="AN46">
            <v>5.1043820539699496</v>
          </cell>
          <cell r="AO46">
            <v>4.3566227645785061</v>
          </cell>
          <cell r="AP46">
            <v>4.3566227645785061</v>
          </cell>
          <cell r="AQ46">
            <v>4.3566227645785061</v>
          </cell>
          <cell r="AR46">
            <v>4.5341643162504814</v>
          </cell>
          <cell r="AS46">
            <v>6.1955218244517916</v>
          </cell>
          <cell r="AT46">
            <v>5.2311416299197528</v>
          </cell>
          <cell r="AU46">
            <v>6.7195582564495906</v>
          </cell>
          <cell r="AV46">
            <v>6.5985427015319367</v>
          </cell>
          <cell r="AW46">
            <v>6.3204875358494501</v>
          </cell>
          <cell r="AX46">
            <v>5.1590045431356693</v>
          </cell>
          <cell r="AY46">
            <v>5.1043820539699496</v>
          </cell>
          <cell r="AZ46">
            <v>5.2060476951705272</v>
          </cell>
          <cell r="BA46">
            <v>6.8584429270751777</v>
          </cell>
          <cell r="BB46">
            <v>6.6188250301237517</v>
          </cell>
          <cell r="BC46">
            <v>5.4227598714561918</v>
          </cell>
          <cell r="BD46">
            <v>5.2140280681875177</v>
          </cell>
          <cell r="BE46">
            <v>2.1872404417151685</v>
          </cell>
          <cell r="BF46">
            <v>2.1872404417151698</v>
          </cell>
          <cell r="BG46">
            <v>2.1872404417151698</v>
          </cell>
          <cell r="BH46">
            <v>2.1872404417151698</v>
          </cell>
          <cell r="BI46">
            <v>2.1872404417151698</v>
          </cell>
          <cell r="BJ46">
            <v>2.1872404417151685</v>
          </cell>
          <cell r="BK46">
            <v>3.0517009468469034</v>
          </cell>
          <cell r="BL46">
            <v>2.1872404417151698</v>
          </cell>
          <cell r="BM46">
            <v>3.6193086577504836</v>
          </cell>
          <cell r="BN46">
            <v>2.1872404417151698</v>
          </cell>
          <cell r="BO46">
            <v>2.1872404417151698</v>
          </cell>
          <cell r="BP46">
            <v>2.1872404417151698</v>
          </cell>
          <cell r="BQ46">
            <v>2.1872404417151685</v>
          </cell>
          <cell r="BR46">
            <v>2.1872404417151685</v>
          </cell>
          <cell r="BS46">
            <v>2.1872404417151685</v>
          </cell>
          <cell r="BT46">
            <v>2.1872404417151685</v>
          </cell>
          <cell r="BU46">
            <v>2.1872404417151685</v>
          </cell>
          <cell r="BV46">
            <v>3.411184998374222</v>
          </cell>
          <cell r="BW46">
            <v>2.1808574443171675</v>
          </cell>
          <cell r="BX46">
            <v>3.3440326440848684</v>
          </cell>
          <cell r="BY46">
            <v>2.1808574443171675</v>
          </cell>
          <cell r="BZ46">
            <v>3.3440326440848684</v>
          </cell>
          <cell r="CA46">
            <v>2.1808574443171675</v>
          </cell>
          <cell r="CB46">
            <v>3.3440326440848684</v>
          </cell>
          <cell r="CC46">
            <v>2.1872404417151698</v>
          </cell>
          <cell r="CD46">
            <v>2.1872404417151698</v>
          </cell>
        </row>
        <row r="47">
          <cell r="B47">
            <v>4.5745773045009646</v>
          </cell>
          <cell r="C47">
            <v>5.1011425532460617</v>
          </cell>
          <cell r="D47">
            <v>5.180947784779498</v>
          </cell>
          <cell r="E47">
            <v>5.1799207307213146</v>
          </cell>
          <cell r="F47">
            <v>5.1799207307213146</v>
          </cell>
          <cell r="G47">
            <v>4.4219721060471828</v>
          </cell>
          <cell r="H47">
            <v>7.1622302494548151</v>
          </cell>
          <cell r="I47">
            <v>5.4400818160782105</v>
          </cell>
          <cell r="J47">
            <v>7.290596648806253</v>
          </cell>
          <cell r="K47">
            <v>5.4400818160782105</v>
          </cell>
          <cell r="L47">
            <v>4.6017820089776498</v>
          </cell>
          <cell r="M47">
            <v>7.290596648806253</v>
          </cell>
          <cell r="N47">
            <v>4.4219721060471828</v>
          </cell>
          <cell r="O47">
            <v>5.180947784779498</v>
          </cell>
          <cell r="P47">
            <v>5.180947784779498</v>
          </cell>
          <cell r="Q47">
            <v>5.1799207307213146</v>
          </cell>
          <cell r="R47">
            <v>7.290596648806253</v>
          </cell>
          <cell r="S47">
            <v>7.290596648806253</v>
          </cell>
          <cell r="T47">
            <v>4.6017820089776498</v>
          </cell>
          <cell r="U47">
            <v>5.1011425532460617</v>
          </cell>
          <cell r="V47">
            <v>7.1622302494548151</v>
          </cell>
          <cell r="W47">
            <v>5.180947784779498</v>
          </cell>
          <cell r="X47">
            <v>5.180947784779498</v>
          </cell>
          <cell r="Y47">
            <v>5.180947784779498</v>
          </cell>
          <cell r="Z47">
            <v>5.9551808698440194</v>
          </cell>
          <cell r="AA47">
            <v>5.6492588753062662</v>
          </cell>
          <cell r="AB47">
            <v>6.6314561385714086</v>
          </cell>
          <cell r="AC47">
            <v>5.1011425532460617</v>
          </cell>
          <cell r="AD47">
            <v>5.180947784779498</v>
          </cell>
          <cell r="AE47">
            <v>7.290596648806253</v>
          </cell>
          <cell r="AF47">
            <v>7.2912988831203354</v>
          </cell>
          <cell r="AG47">
            <v>4.6017820089776498</v>
          </cell>
          <cell r="AH47">
            <v>5.1011425532460617</v>
          </cell>
          <cell r="AI47">
            <v>7.290596648806253</v>
          </cell>
          <cell r="AJ47">
            <v>7.290596648806253</v>
          </cell>
          <cell r="AK47">
            <v>4.6017820089776498</v>
          </cell>
          <cell r="AL47">
            <v>5.180947784779498</v>
          </cell>
          <cell r="AM47">
            <v>5.1011425532460617</v>
          </cell>
          <cell r="AN47">
            <v>5.180947784779498</v>
          </cell>
          <cell r="AO47">
            <v>4.4219721060471828</v>
          </cell>
          <cell r="AP47">
            <v>4.4219721060471828</v>
          </cell>
          <cell r="AQ47">
            <v>4.4219721060471828</v>
          </cell>
          <cell r="AR47">
            <v>4.6029289378153004</v>
          </cell>
          <cell r="AS47">
            <v>6.2593127436269373</v>
          </cell>
          <cell r="AT47">
            <v>5.3720466003097966</v>
          </cell>
          <cell r="AU47">
            <v>6.9723172214244533</v>
          </cell>
          <cell r="AV47">
            <v>6.8358532272456989</v>
          </cell>
          <cell r="AW47">
            <v>6.1380582631080944</v>
          </cell>
          <cell r="AX47">
            <v>5.2530200803005869</v>
          </cell>
          <cell r="AY47">
            <v>5.180947784779498</v>
          </cell>
          <cell r="AZ47">
            <v>5.3063202396376479</v>
          </cell>
          <cell r="BA47">
            <v>7.1115024528301038</v>
          </cell>
          <cell r="BB47">
            <v>6.8581035300006272</v>
          </cell>
          <cell r="BC47">
            <v>5.5181514476671385</v>
          </cell>
          <cell r="BD47">
            <v>5.3035419757169011</v>
          </cell>
        </row>
        <row r="48">
          <cell r="B48">
            <v>4.6157485002414731</v>
          </cell>
          <cell r="C48">
            <v>5.1470528362252761</v>
          </cell>
          <cell r="D48">
            <v>5.227576314842513</v>
          </cell>
          <cell r="E48">
            <v>5.2265400172978058</v>
          </cell>
          <cell r="F48">
            <v>5.2265400172978058</v>
          </cell>
          <cell r="G48">
            <v>4.4617698550016067</v>
          </cell>
          <cell r="H48">
            <v>7.2266903216999081</v>
          </cell>
          <cell r="I48">
            <v>5.4890425524229141</v>
          </cell>
          <cell r="J48">
            <v>7.5473311936084473</v>
          </cell>
          <cell r="K48">
            <v>5.4890425524229141</v>
          </cell>
          <cell r="L48">
            <v>4.6431980470584477</v>
          </cell>
          <cell r="M48">
            <v>7.5473311936084473</v>
          </cell>
          <cell r="N48">
            <v>4.4617698550016067</v>
          </cell>
          <cell r="O48">
            <v>5.227576314842513</v>
          </cell>
          <cell r="P48">
            <v>5.227576314842513</v>
          </cell>
          <cell r="Q48">
            <v>5.2265400172978058</v>
          </cell>
          <cell r="R48">
            <v>7.5473311936084473</v>
          </cell>
          <cell r="S48">
            <v>7.5473311936084473</v>
          </cell>
          <cell r="T48">
            <v>4.6431980470584477</v>
          </cell>
          <cell r="U48">
            <v>5.1470528362252761</v>
          </cell>
          <cell r="V48">
            <v>7.2266903216999081</v>
          </cell>
          <cell r="W48">
            <v>5.227576314842513</v>
          </cell>
          <cell r="X48">
            <v>5.227576314842513</v>
          </cell>
          <cell r="Y48">
            <v>5.227576314842513</v>
          </cell>
          <cell r="Z48">
            <v>6.0087774976726154</v>
          </cell>
          <cell r="AA48">
            <v>5.7883154442699629</v>
          </cell>
          <cell r="AB48">
            <v>8.6739446292514035</v>
          </cell>
          <cell r="AC48">
            <v>5.1470528362252761</v>
          </cell>
          <cell r="AD48">
            <v>5.227576314842513</v>
          </cell>
          <cell r="AE48">
            <v>7.5473311936084473</v>
          </cell>
          <cell r="AF48">
            <v>7.5480581567363227</v>
          </cell>
          <cell r="AG48">
            <v>4.6431980470584477</v>
          </cell>
          <cell r="AH48">
            <v>5.1470528362252761</v>
          </cell>
          <cell r="AI48">
            <v>7.5473311936084473</v>
          </cell>
          <cell r="AJ48">
            <v>7.5473311936084473</v>
          </cell>
          <cell r="AK48">
            <v>4.6431980470584477</v>
          </cell>
          <cell r="AL48">
            <v>5.227576314842513</v>
          </cell>
          <cell r="AM48">
            <v>5.1470528362252761</v>
          </cell>
          <cell r="AN48">
            <v>5.227576314842513</v>
          </cell>
          <cell r="AO48">
            <v>4.4617698550016067</v>
          </cell>
          <cell r="AP48">
            <v>4.4617698550016067</v>
          </cell>
          <cell r="AQ48">
            <v>4.4617698550016067</v>
          </cell>
          <cell r="AR48">
            <v>4.6451440071590069</v>
          </cell>
          <cell r="AS48">
            <v>6.463343842508146</v>
          </cell>
          <cell r="AT48">
            <v>5.4663674734105552</v>
          </cell>
          <cell r="AU48">
            <v>7.214539192490097</v>
          </cell>
          <cell r="AV48">
            <v>7.0636747814650773</v>
          </cell>
          <cell r="AW48">
            <v>6.4920815955117925</v>
          </cell>
          <cell r="AX48">
            <v>5.3117808962592221</v>
          </cell>
          <cell r="AY48">
            <v>5.227576314842513</v>
          </cell>
          <cell r="AZ48">
            <v>5.3736302309140846</v>
          </cell>
          <cell r="BA48">
            <v>7.3547801452715147</v>
          </cell>
          <cell r="BB48">
            <v>7.0780004919628015</v>
          </cell>
          <cell r="BC48">
            <v>5.617880638415981</v>
          </cell>
          <cell r="BD48">
            <v>5.3844784892903368</v>
          </cell>
        </row>
        <row r="49">
          <cell r="B49">
            <v>4.6665217337441289</v>
          </cell>
          <cell r="C49">
            <v>5.203670417423754</v>
          </cell>
          <cell r="D49">
            <v>5.2850796543057799</v>
          </cell>
          <cell r="E49">
            <v>5.2840319574880814</v>
          </cell>
          <cell r="F49">
            <v>5.2840319574880814</v>
          </cell>
          <cell r="G49">
            <v>4.5108493234066236</v>
          </cell>
          <cell r="H49">
            <v>7.3061839152386066</v>
          </cell>
          <cell r="I49">
            <v>5.5494220204995655</v>
          </cell>
          <cell r="J49">
            <v>7.6897921296539655</v>
          </cell>
          <cell r="K49">
            <v>5.5494220204995655</v>
          </cell>
          <cell r="L49">
            <v>4.6942732255760902</v>
          </cell>
          <cell r="M49">
            <v>7.6897921296539655</v>
          </cell>
          <cell r="N49">
            <v>4.5108493234066236</v>
          </cell>
          <cell r="O49">
            <v>5.2850796543057799</v>
          </cell>
          <cell r="P49">
            <v>5.2850796543057799</v>
          </cell>
          <cell r="Q49">
            <v>5.2840319574880814</v>
          </cell>
          <cell r="R49">
            <v>7.6897921296539655</v>
          </cell>
          <cell r="S49">
            <v>7.6897921296539655</v>
          </cell>
          <cell r="T49">
            <v>4.6942732255760902</v>
          </cell>
          <cell r="U49">
            <v>5.203670417423754</v>
          </cell>
          <cell r="V49">
            <v>7.3061839152386066</v>
          </cell>
          <cell r="W49">
            <v>5.2850796543057799</v>
          </cell>
          <cell r="X49">
            <v>5.2850796543057799</v>
          </cell>
          <cell r="Y49">
            <v>5.2850796543057799</v>
          </cell>
          <cell r="Z49">
            <v>6.0748740501470131</v>
          </cell>
          <cell r="AA49">
            <v>5.8779060212448213</v>
          </cell>
          <cell r="AB49">
            <v>9.3505123103330128</v>
          </cell>
          <cell r="AC49">
            <v>5.203670417423754</v>
          </cell>
          <cell r="AD49">
            <v>5.2850796543057799</v>
          </cell>
          <cell r="AE49">
            <v>7.6897921296539655</v>
          </cell>
          <cell r="AF49">
            <v>7.6905328146982388</v>
          </cell>
          <cell r="AG49">
            <v>4.6942732255760902</v>
          </cell>
          <cell r="AH49">
            <v>5.203670417423754</v>
          </cell>
          <cell r="AI49">
            <v>7.6897921296539655</v>
          </cell>
          <cell r="AJ49">
            <v>7.6897921296539655</v>
          </cell>
          <cell r="AK49">
            <v>4.6942732255760902</v>
          </cell>
          <cell r="AL49">
            <v>5.2850796543057799</v>
          </cell>
          <cell r="AM49">
            <v>5.203670417423754</v>
          </cell>
          <cell r="AN49">
            <v>5.2850796543057799</v>
          </cell>
          <cell r="AO49">
            <v>4.5108493234066236</v>
          </cell>
          <cell r="AP49">
            <v>4.5108493234066236</v>
          </cell>
          <cell r="AQ49">
            <v>4.5108493234066236</v>
          </cell>
          <cell r="AR49">
            <v>4.6964982595126887</v>
          </cell>
          <cell r="AS49">
            <v>6.5713640497322752</v>
          </cell>
          <cell r="AT49">
            <v>5.5394314406322316</v>
          </cell>
          <cell r="AU49">
            <v>7.3498622940385312</v>
          </cell>
          <cell r="AV49">
            <v>7.1929062898575165</v>
          </cell>
          <cell r="AW49">
            <v>6.6351790919644396</v>
          </cell>
          <cell r="AX49">
            <v>5.3735404232454522</v>
          </cell>
          <cell r="AY49">
            <v>5.2850796543057799</v>
          </cell>
          <cell r="AZ49">
            <v>5.4363230617623977</v>
          </cell>
          <cell r="BA49">
            <v>7.4913023920528383</v>
          </cell>
          <cell r="BB49">
            <v>7.2049394660275823</v>
          </cell>
          <cell r="BC49">
            <v>5.6940975695305376</v>
          </cell>
          <cell r="BD49">
            <v>5.4523353153072298</v>
          </cell>
        </row>
        <row r="50">
          <cell r="B50">
            <v>4.7411860814840354</v>
          </cell>
          <cell r="C50">
            <v>5.2869291441025341</v>
          </cell>
          <cell r="D50">
            <v>5.3696409287746727</v>
          </cell>
          <cell r="E50">
            <v>5.3685764688078912</v>
          </cell>
          <cell r="F50">
            <v>5.3685764688078912</v>
          </cell>
          <cell r="G50">
            <v>4.5830229125811295</v>
          </cell>
          <cell r="H50">
            <v>7.4230828578824246</v>
          </cell>
          <cell r="I50">
            <v>5.6382127728275586</v>
          </cell>
          <cell r="J50">
            <v>7.849535099955431</v>
          </cell>
          <cell r="K50">
            <v>5.6382127728275586</v>
          </cell>
          <cell r="L50">
            <v>4.7693815971853075</v>
          </cell>
          <cell r="M50">
            <v>7.849535099955431</v>
          </cell>
          <cell r="N50">
            <v>4.5830229125811295</v>
          </cell>
          <cell r="O50">
            <v>5.3696409287746727</v>
          </cell>
          <cell r="P50">
            <v>5.3696409287746727</v>
          </cell>
          <cell r="Q50">
            <v>5.3685764688078912</v>
          </cell>
          <cell r="R50">
            <v>7.849535099955431</v>
          </cell>
          <cell r="S50">
            <v>7.849535099955431</v>
          </cell>
          <cell r="T50">
            <v>4.7693815971853075</v>
          </cell>
          <cell r="U50">
            <v>5.2869291441025341</v>
          </cell>
          <cell r="V50">
            <v>7.4230828578824246</v>
          </cell>
          <cell r="W50">
            <v>5.3696409287746727</v>
          </cell>
          <cell r="X50">
            <v>5.3696409287746727</v>
          </cell>
          <cell r="Y50">
            <v>5.3696409287746727</v>
          </cell>
          <cell r="Z50">
            <v>6.1720720349493652</v>
          </cell>
          <cell r="AA50">
            <v>6.0000099937781819</v>
          </cell>
          <cell r="AB50">
            <v>9.6310276796430028</v>
          </cell>
          <cell r="AC50">
            <v>5.2869291441025341</v>
          </cell>
          <cell r="AD50">
            <v>5.3696409287746727</v>
          </cell>
          <cell r="AE50">
            <v>7.849535099955431</v>
          </cell>
          <cell r="AF50">
            <v>7.8502911715312305</v>
          </cell>
          <cell r="AG50">
            <v>4.7693815971853075</v>
          </cell>
          <cell r="AH50">
            <v>5.2869291441025341</v>
          </cell>
          <cell r="AI50">
            <v>7.849535099955431</v>
          </cell>
          <cell r="AJ50">
            <v>7.849535099955431</v>
          </cell>
          <cell r="AK50">
            <v>4.7693815971853075</v>
          </cell>
          <cell r="AL50">
            <v>5.3696409287746727</v>
          </cell>
          <cell r="AM50">
            <v>5.2869291441025341</v>
          </cell>
          <cell r="AN50">
            <v>5.3696409287746727</v>
          </cell>
          <cell r="AO50">
            <v>4.5830229125811295</v>
          </cell>
          <cell r="AP50">
            <v>4.5830229125811295</v>
          </cell>
          <cell r="AQ50">
            <v>4.5830229125811295</v>
          </cell>
          <cell r="AR50">
            <v>4.771943709561465</v>
          </cell>
          <cell r="AS50">
            <v>6.6974383459589761</v>
          </cell>
          <cell r="AT50">
            <v>5.6424364243369318</v>
          </cell>
          <cell r="AU50">
            <v>7.5019700921993913</v>
          </cell>
          <cell r="AV50">
            <v>7.3396343543117064</v>
          </cell>
          <cell r="AW50">
            <v>6.7603296917806874</v>
          </cell>
          <cell r="AX50">
            <v>5.4631080627065565</v>
          </cell>
          <cell r="AY50">
            <v>5.3696409287746727</v>
          </cell>
          <cell r="AZ50">
            <v>5.5301092563391139</v>
          </cell>
          <cell r="BA50">
            <v>7.6444554226335262</v>
          </cell>
          <cell r="BB50">
            <v>7.3496742571732083</v>
          </cell>
          <cell r="BC50">
            <v>5.7952295620038994</v>
          </cell>
          <cell r="BD50">
            <v>5.5456314323033702</v>
          </cell>
        </row>
        <row r="51">
          <cell r="B51">
            <v>4.8217862448692639</v>
          </cell>
          <cell r="C51">
            <v>5.3768069395522771</v>
          </cell>
          <cell r="D51">
            <v>5.4609248245638415</v>
          </cell>
          <cell r="E51">
            <v>5.4598422687776251</v>
          </cell>
          <cell r="F51">
            <v>5.4598422687776251</v>
          </cell>
          <cell r="G51">
            <v>4.6609343020950078</v>
          </cell>
          <cell r="H51">
            <v>7.5492752664664255</v>
          </cell>
          <cell r="I51">
            <v>5.7340623899656267</v>
          </cell>
          <cell r="J51">
            <v>8.0300744072544052</v>
          </cell>
          <cell r="K51">
            <v>5.7340623899656267</v>
          </cell>
          <cell r="L51">
            <v>4.8504610843374572</v>
          </cell>
          <cell r="M51">
            <v>8.0300744072544052</v>
          </cell>
          <cell r="N51">
            <v>4.6609343020950078</v>
          </cell>
          <cell r="O51">
            <v>5.4609248245638415</v>
          </cell>
          <cell r="P51">
            <v>5.4609248245638415</v>
          </cell>
          <cell r="Q51">
            <v>5.4598422687776251</v>
          </cell>
          <cell r="R51">
            <v>8.0300744072544052</v>
          </cell>
          <cell r="S51">
            <v>8.0300744072544052</v>
          </cell>
          <cell r="T51">
            <v>4.8504610843374572</v>
          </cell>
          <cell r="U51">
            <v>5.3768069395522771</v>
          </cell>
          <cell r="V51">
            <v>7.5492752664664255</v>
          </cell>
          <cell r="W51">
            <v>5.4609248245638415</v>
          </cell>
          <cell r="X51">
            <v>5.4609248245638415</v>
          </cell>
          <cell r="Y51">
            <v>5.4609248245638415</v>
          </cell>
          <cell r="Z51">
            <v>6.2769972595435037</v>
          </cell>
          <cell r="AA51">
            <v>6.1380102236350798</v>
          </cell>
          <cell r="AB51">
            <v>9.8140172055562189</v>
          </cell>
          <cell r="AC51">
            <v>5.3768069395522771</v>
          </cell>
          <cell r="AD51">
            <v>5.4609248245638415</v>
          </cell>
          <cell r="AE51">
            <v>8.0300744072544052</v>
          </cell>
          <cell r="AF51">
            <v>8.0308478684764477</v>
          </cell>
          <cell r="AG51">
            <v>4.8504610843374572</v>
          </cell>
          <cell r="AH51">
            <v>5.3768069395522771</v>
          </cell>
          <cell r="AI51">
            <v>8.0300744072544052</v>
          </cell>
          <cell r="AJ51">
            <v>8.0300744072544052</v>
          </cell>
          <cell r="AK51">
            <v>4.8504610843374572</v>
          </cell>
          <cell r="AL51">
            <v>5.4609248245638415</v>
          </cell>
          <cell r="AM51">
            <v>5.3768069395522771</v>
          </cell>
          <cell r="AN51">
            <v>5.4609248245638415</v>
          </cell>
          <cell r="AO51">
            <v>4.6609343020950078</v>
          </cell>
          <cell r="AP51">
            <v>4.6609343020950078</v>
          </cell>
          <cell r="AQ51">
            <v>4.6609343020950078</v>
          </cell>
          <cell r="AR51">
            <v>4.8534874954790626</v>
          </cell>
          <cell r="AS51">
            <v>6.8325626460838018</v>
          </cell>
          <cell r="AT51">
            <v>5.75663770273807</v>
          </cell>
          <cell r="AU51">
            <v>7.6735171475952129</v>
          </cell>
          <cell r="AV51">
            <v>7.5058040220289923</v>
          </cell>
          <cell r="AW51">
            <v>6.883117813634585</v>
          </cell>
          <cell r="AX51">
            <v>5.560569910545242</v>
          </cell>
          <cell r="AY51">
            <v>5.4609248245638415</v>
          </cell>
          <cell r="AZ51">
            <v>5.6337611076205762</v>
          </cell>
          <cell r="BA51">
            <v>7.8155500396208755</v>
          </cell>
          <cell r="BB51">
            <v>7.5114618289653841</v>
          </cell>
          <cell r="BC51">
            <v>5.905039772143021</v>
          </cell>
          <cell r="BD51">
            <v>5.6467541046943062</v>
          </cell>
        </row>
        <row r="52">
          <cell r="B52">
            <v>4.9037566110320405</v>
          </cell>
          <cell r="C52">
            <v>5.4682126575246652</v>
          </cell>
          <cell r="D52">
            <v>5.5537605465814259</v>
          </cell>
          <cell r="E52">
            <v>5.5526595873468443</v>
          </cell>
          <cell r="F52">
            <v>5.5526595873468443</v>
          </cell>
          <cell r="G52">
            <v>4.7401701852306228</v>
          </cell>
          <cell r="H52">
            <v>7.677612945996354</v>
          </cell>
          <cell r="I52">
            <v>5.8315414505950418</v>
          </cell>
          <cell r="J52">
            <v>8.2450491099653984</v>
          </cell>
          <cell r="K52">
            <v>5.8315414505950418</v>
          </cell>
          <cell r="L52">
            <v>4.9329189227711936</v>
          </cell>
          <cell r="M52">
            <v>8.2450491099653984</v>
          </cell>
          <cell r="N52">
            <v>4.7401701852306228</v>
          </cell>
          <cell r="O52">
            <v>5.5537605465814259</v>
          </cell>
          <cell r="P52">
            <v>5.5537605465814259</v>
          </cell>
          <cell r="Q52">
            <v>5.5526595873468443</v>
          </cell>
          <cell r="R52">
            <v>8.2450491099653984</v>
          </cell>
          <cell r="S52">
            <v>8.2450491099653984</v>
          </cell>
          <cell r="T52">
            <v>4.9329189227711936</v>
          </cell>
          <cell r="U52">
            <v>5.4682126575246652</v>
          </cell>
          <cell r="V52">
            <v>7.677612945996354</v>
          </cell>
          <cell r="W52">
            <v>5.5537605465814259</v>
          </cell>
          <cell r="X52">
            <v>5.5537605465814259</v>
          </cell>
          <cell r="Y52">
            <v>5.5537605465814259</v>
          </cell>
          <cell r="Z52">
            <v>6.3837062129557429</v>
          </cell>
          <cell r="AA52">
            <v>6.279184458778686</v>
          </cell>
          <cell r="AB52">
            <v>10.000483532461786</v>
          </cell>
          <cell r="AC52">
            <v>5.4682126575246652</v>
          </cell>
          <cell r="AD52">
            <v>5.5537605465814259</v>
          </cell>
          <cell r="AE52">
            <v>8.2450491099653984</v>
          </cell>
          <cell r="AF52">
            <v>8.2458432776700761</v>
          </cell>
          <cell r="AG52">
            <v>4.9329189227711936</v>
          </cell>
          <cell r="AH52">
            <v>5.4682126575246652</v>
          </cell>
          <cell r="AI52">
            <v>8.2450491099653984</v>
          </cell>
          <cell r="AJ52">
            <v>8.2450491099653984</v>
          </cell>
          <cell r="AK52">
            <v>4.9329189227711936</v>
          </cell>
          <cell r="AL52">
            <v>5.5537605465814259</v>
          </cell>
          <cell r="AM52">
            <v>5.4682126575246652</v>
          </cell>
          <cell r="AN52">
            <v>5.5537605465814259</v>
          </cell>
          <cell r="AO52">
            <v>4.7401701852306228</v>
          </cell>
          <cell r="AP52">
            <v>4.7401701852306228</v>
          </cell>
          <cell r="AQ52">
            <v>4.7401701852306228</v>
          </cell>
          <cell r="AR52">
            <v>4.9364621036548417</v>
          </cell>
          <cell r="AS52">
            <v>6.9707524523400242</v>
          </cell>
          <cell r="AT52">
            <v>5.8734518653133332</v>
          </cell>
          <cell r="AU52">
            <v>7.8770443455113455</v>
          </cell>
          <cell r="AV52">
            <v>7.7009405811393803</v>
          </cell>
          <cell r="AW52">
            <v>7.0081338694421946</v>
          </cell>
          <cell r="AX52">
            <v>5.6597704777493698</v>
          </cell>
          <cell r="AY52">
            <v>5.5537605465814259</v>
          </cell>
          <cell r="AZ52">
            <v>5.7393473191099886</v>
          </cell>
          <cell r="BA52">
            <v>8.0146221274214948</v>
          </cell>
          <cell r="BB52">
            <v>7.7005583500354735</v>
          </cell>
          <cell r="BC52">
            <v>6.0169307078378402</v>
          </cell>
          <cell r="BD52">
            <v>5.7497207140645221</v>
          </cell>
        </row>
        <row r="53">
          <cell r="B53">
            <v>4.9871204734195844</v>
          </cell>
          <cell r="C53">
            <v>5.5611722727025841</v>
          </cell>
          <cell r="D53">
            <v>5.6481744758733097</v>
          </cell>
          <cell r="E53">
            <v>5.6470548003317402</v>
          </cell>
          <cell r="F53">
            <v>5.6470548003317402</v>
          </cell>
          <cell r="G53">
            <v>4.8207530783795427</v>
          </cell>
          <cell r="H53">
            <v>7.8081323660782909</v>
          </cell>
          <cell r="I53">
            <v>5.930677655255157</v>
          </cell>
          <cell r="J53">
            <v>8.4759104850444285</v>
          </cell>
          <cell r="K53">
            <v>5.930677655255157</v>
          </cell>
          <cell r="L53">
            <v>5.0167785444583037</v>
          </cell>
          <cell r="M53">
            <v>8.4759104850444285</v>
          </cell>
          <cell r="N53">
            <v>4.8207530783795427</v>
          </cell>
          <cell r="O53">
            <v>5.6481744758733097</v>
          </cell>
          <cell r="P53">
            <v>5.6481744758733097</v>
          </cell>
          <cell r="Q53">
            <v>5.6470548003317402</v>
          </cell>
          <cell r="R53">
            <v>8.4759104850444285</v>
          </cell>
          <cell r="S53">
            <v>8.4759104850444285</v>
          </cell>
          <cell r="T53">
            <v>5.0167785444583037</v>
          </cell>
          <cell r="U53">
            <v>5.5611722727025841</v>
          </cell>
          <cell r="V53">
            <v>7.8081323660782909</v>
          </cell>
          <cell r="W53">
            <v>5.6481744758733097</v>
          </cell>
          <cell r="X53">
            <v>5.6481744758733097</v>
          </cell>
          <cell r="Y53">
            <v>5.6481744758733097</v>
          </cell>
          <cell r="Z53">
            <v>6.4922292185759902</v>
          </cell>
          <cell r="AA53">
            <v>6.4236057013305956</v>
          </cell>
          <cell r="AB53">
            <v>10.220494170175945</v>
          </cell>
          <cell r="AC53">
            <v>5.5611722727025841</v>
          </cell>
          <cell r="AD53">
            <v>5.6481744758733097</v>
          </cell>
          <cell r="AE53">
            <v>8.4759104850444285</v>
          </cell>
          <cell r="AF53">
            <v>8.4767268894448371</v>
          </cell>
          <cell r="AG53">
            <v>5.0167785444583037</v>
          </cell>
          <cell r="AH53">
            <v>5.5611722727025841</v>
          </cell>
          <cell r="AI53">
            <v>8.4759104850444285</v>
          </cell>
          <cell r="AJ53">
            <v>8.4759104850444285</v>
          </cell>
          <cell r="AK53">
            <v>5.0167785444583037</v>
          </cell>
          <cell r="AL53">
            <v>5.6481744758733097</v>
          </cell>
          <cell r="AM53">
            <v>5.5611722727025841</v>
          </cell>
          <cell r="AN53">
            <v>5.6481744758733097</v>
          </cell>
          <cell r="AO53">
            <v>4.8207530783795427</v>
          </cell>
          <cell r="AP53">
            <v>4.8207530783795427</v>
          </cell>
          <cell r="AQ53">
            <v>4.8207530783795427</v>
          </cell>
          <cell r="AR53">
            <v>5.0208952109768195</v>
          </cell>
          <cell r="AS53">
            <v>7.1128575808737207</v>
          </cell>
          <cell r="AT53">
            <v>5.9926698430580121</v>
          </cell>
          <cell r="AU53">
            <v>8.0950416637334488</v>
          </cell>
          <cell r="AV53">
            <v>7.9092852578662978</v>
          </cell>
          <cell r="AW53">
            <v>7.138879141555746</v>
          </cell>
          <cell r="AX53">
            <v>5.7607407830724187</v>
          </cell>
          <cell r="AY53">
            <v>5.6481744758733097</v>
          </cell>
          <cell r="AZ53">
            <v>5.8498896542652812</v>
          </cell>
          <cell r="BA53">
            <v>8.2248747462923522</v>
          </cell>
          <cell r="BB53">
            <v>7.9025706010159862</v>
          </cell>
          <cell r="BC53">
            <v>6.1312484207934643</v>
          </cell>
          <cell r="BD53">
            <v>5.8547441689476658</v>
          </cell>
        </row>
        <row r="54">
          <cell r="B54">
            <v>5.0719015214677166</v>
          </cell>
          <cell r="C54">
            <v>5.6557122013385275</v>
          </cell>
          <cell r="D54">
            <v>5.7441934419631551</v>
          </cell>
          <cell r="E54">
            <v>5.743054731937379</v>
          </cell>
          <cell r="F54">
            <v>5.743054731937379</v>
          </cell>
          <cell r="G54">
            <v>4.9027058807119941</v>
          </cell>
          <cell r="H54">
            <v>7.9408706163016207</v>
          </cell>
          <cell r="I54">
            <v>6.0314991753944938</v>
          </cell>
          <cell r="J54">
            <v>8.7132359786256703</v>
          </cell>
          <cell r="K54">
            <v>6.0314991753944938</v>
          </cell>
          <cell r="L54">
            <v>5.1020637797140944</v>
          </cell>
          <cell r="M54">
            <v>8.7132359786256703</v>
          </cell>
          <cell r="N54">
            <v>4.9027058807119941</v>
          </cell>
          <cell r="O54">
            <v>5.7441934419631551</v>
          </cell>
          <cell r="P54">
            <v>5.7441934419631551</v>
          </cell>
          <cell r="Q54">
            <v>5.743054731937379</v>
          </cell>
          <cell r="R54">
            <v>8.7132359786256703</v>
          </cell>
          <cell r="S54">
            <v>8.7132359786256703</v>
          </cell>
          <cell r="T54">
            <v>5.1020637797140944</v>
          </cell>
          <cell r="U54">
            <v>5.6557122013385275</v>
          </cell>
          <cell r="V54">
            <v>7.9408706163016207</v>
          </cell>
          <cell r="W54">
            <v>5.7441934419631551</v>
          </cell>
          <cell r="X54">
            <v>5.7441934419631551</v>
          </cell>
          <cell r="Y54">
            <v>5.7441934419631551</v>
          </cell>
          <cell r="Z54">
            <v>6.6025971152917817</v>
          </cell>
          <cell r="AA54">
            <v>6.5713486324611985</v>
          </cell>
          <cell r="AB54">
            <v>10.445345041919817</v>
          </cell>
          <cell r="AC54">
            <v>5.6557122013385275</v>
          </cell>
          <cell r="AD54">
            <v>5.7441934419631551</v>
          </cell>
          <cell r="AE54">
            <v>8.7132359786256703</v>
          </cell>
          <cell r="AF54">
            <v>8.7140752423492902</v>
          </cell>
          <cell r="AG54">
            <v>5.1020637797140944</v>
          </cell>
          <cell r="AH54">
            <v>5.6557122013385275</v>
          </cell>
          <cell r="AI54">
            <v>8.7132359786256703</v>
          </cell>
          <cell r="AJ54">
            <v>8.7132359786256703</v>
          </cell>
          <cell r="AK54">
            <v>5.1020637797140944</v>
          </cell>
          <cell r="AL54">
            <v>5.7441934419631551</v>
          </cell>
          <cell r="AM54">
            <v>5.6557122013385275</v>
          </cell>
          <cell r="AN54">
            <v>5.7441934419631551</v>
          </cell>
          <cell r="AO54">
            <v>4.9027058807119941</v>
          </cell>
          <cell r="AP54">
            <v>4.9027058807119941</v>
          </cell>
          <cell r="AQ54">
            <v>4.9027058807119941</v>
          </cell>
          <cell r="AR54">
            <v>5.1067724597633424</v>
          </cell>
          <cell r="AS54">
            <v>7.2578596516950178</v>
          </cell>
          <cell r="AT54">
            <v>6.1143076799491443</v>
          </cell>
          <cell r="AU54">
            <v>8.3190720609465458</v>
          </cell>
          <cell r="AV54">
            <v>8.1232665842807545</v>
          </cell>
          <cell r="AW54">
            <v>7.2720636259472737</v>
          </cell>
          <cell r="AX54">
            <v>5.8635123986424311</v>
          </cell>
          <cell r="AY54">
            <v>5.7441934419631551</v>
          </cell>
          <cell r="AZ54">
            <v>5.9625610830582598</v>
          </cell>
          <cell r="BA54">
            <v>8.4406430542424005</v>
          </cell>
          <cell r="BB54">
            <v>8.1098823312928321</v>
          </cell>
          <cell r="BC54">
            <v>6.2477380948584926</v>
          </cell>
          <cell r="BD54">
            <v>5.9616859650206013</v>
          </cell>
        </row>
        <row r="55">
          <cell r="B55">
            <v>5.1581238473326669</v>
          </cell>
          <cell r="C55">
            <v>5.7518593087612819</v>
          </cell>
          <cell r="D55">
            <v>5.8418447304765282</v>
          </cell>
          <cell r="E55">
            <v>5.840686662380314</v>
          </cell>
          <cell r="F55">
            <v>5.840686662380314</v>
          </cell>
          <cell r="G55">
            <v>4.9860518806840979</v>
          </cell>
          <cell r="H55">
            <v>8.0758654167787469</v>
          </cell>
          <cell r="I55">
            <v>6.1340346613761998</v>
          </cell>
          <cell r="J55">
            <v>8.957206586027187</v>
          </cell>
          <cell r="K55">
            <v>6.1340346613761998</v>
          </cell>
          <cell r="L55">
            <v>5.1887988639692333</v>
          </cell>
          <cell r="M55">
            <v>8.957206586027187</v>
          </cell>
          <cell r="N55">
            <v>4.9860518806840979</v>
          </cell>
          <cell r="O55">
            <v>5.8418447304765282</v>
          </cell>
          <cell r="P55">
            <v>5.8418447304765282</v>
          </cell>
          <cell r="Q55">
            <v>5.840686662380314</v>
          </cell>
          <cell r="R55">
            <v>8.957206586027187</v>
          </cell>
          <cell r="S55">
            <v>8.957206586027187</v>
          </cell>
          <cell r="T55">
            <v>5.1887988639692333</v>
          </cell>
          <cell r="U55">
            <v>5.7518593087612819</v>
          </cell>
          <cell r="V55">
            <v>8.0758654167787469</v>
          </cell>
          <cell r="W55">
            <v>5.8418447304765282</v>
          </cell>
          <cell r="X55">
            <v>5.8418447304765282</v>
          </cell>
          <cell r="Y55">
            <v>5.8418447304765282</v>
          </cell>
          <cell r="Z55">
            <v>6.7148412662517414</v>
          </cell>
          <cell r="AA55">
            <v>6.7224896510078054</v>
          </cell>
          <cell r="AB55">
            <v>10.675142632842054</v>
          </cell>
          <cell r="AC55">
            <v>5.7518593087612819</v>
          </cell>
          <cell r="AD55">
            <v>5.8418447304765282</v>
          </cell>
          <cell r="AE55">
            <v>8.957206586027187</v>
          </cell>
          <cell r="AF55">
            <v>8.9580693491350694</v>
          </cell>
          <cell r="AG55">
            <v>5.1887988639692333</v>
          </cell>
          <cell r="AH55">
            <v>5.7518593087612819</v>
          </cell>
          <cell r="AI55">
            <v>8.957206586027187</v>
          </cell>
          <cell r="AJ55">
            <v>8.957206586027187</v>
          </cell>
          <cell r="AK55">
            <v>5.1887988639692333</v>
          </cell>
          <cell r="AL55">
            <v>5.8418447304765282</v>
          </cell>
          <cell r="AM55">
            <v>5.7518593087612819</v>
          </cell>
          <cell r="AN55">
            <v>5.8418447304765282</v>
          </cell>
          <cell r="AO55">
            <v>4.9860518806840979</v>
          </cell>
          <cell r="AP55">
            <v>4.9860518806840979</v>
          </cell>
          <cell r="AQ55">
            <v>4.9860518806840979</v>
          </cell>
          <cell r="AR55">
            <v>5.194118550568918</v>
          </cell>
          <cell r="AS55">
            <v>7.405817721607173</v>
          </cell>
          <cell r="AT55">
            <v>6.2384144937322192</v>
          </cell>
          <cell r="AU55">
            <v>8.5493025027005256</v>
          </cell>
          <cell r="AV55">
            <v>8.3430370568141416</v>
          </cell>
          <cell r="AW55">
            <v>7.4077328290923914</v>
          </cell>
          <cell r="AX55">
            <v>5.9681174598342128</v>
          </cell>
          <cell r="AY55">
            <v>5.8418447304765282</v>
          </cell>
          <cell r="AZ55">
            <v>6.0774026127619445</v>
          </cell>
          <cell r="BA55">
            <v>8.662071747809458</v>
          </cell>
          <cell r="BB55">
            <v>8.322632564517674</v>
          </cell>
          <cell r="BC55">
            <v>6.3664409958607555</v>
          </cell>
          <cell r="BD55">
            <v>6.0705811423886518</v>
          </cell>
        </row>
        <row r="56">
          <cell r="B56">
            <v>5.2458119527373217</v>
          </cell>
          <cell r="C56">
            <v>5.8496409170102233</v>
          </cell>
          <cell r="D56">
            <v>5.941156090894629</v>
          </cell>
          <cell r="E56">
            <v>5.9399783356407792</v>
          </cell>
          <cell r="F56">
            <v>5.9399783356407792</v>
          </cell>
          <cell r="G56">
            <v>5.0708147626557274</v>
          </cell>
          <cell r="H56">
            <v>8.2131551288639848</v>
          </cell>
          <cell r="I56">
            <v>6.2383132506195942</v>
          </cell>
          <cell r="J56">
            <v>9.2080083704359463</v>
          </cell>
          <cell r="K56">
            <v>6.2383132506195942</v>
          </cell>
          <cell r="L56">
            <v>5.27700844465671</v>
          </cell>
          <cell r="M56">
            <v>9.2080083704359463</v>
          </cell>
          <cell r="N56">
            <v>5.0708147626557274</v>
          </cell>
          <cell r="O56">
            <v>5.941156090894629</v>
          </cell>
          <cell r="P56">
            <v>5.941156090894629</v>
          </cell>
          <cell r="Q56">
            <v>5.9399783356407792</v>
          </cell>
          <cell r="R56">
            <v>9.2080083704359463</v>
          </cell>
          <cell r="S56">
            <v>9.2080083704359463</v>
          </cell>
          <cell r="T56">
            <v>5.27700844465671</v>
          </cell>
          <cell r="U56">
            <v>5.8496409170102233</v>
          </cell>
          <cell r="V56">
            <v>8.2131551288639848</v>
          </cell>
          <cell r="W56">
            <v>5.941156090894629</v>
          </cell>
          <cell r="X56">
            <v>5.941156090894629</v>
          </cell>
          <cell r="Y56">
            <v>5.941156090894629</v>
          </cell>
          <cell r="Z56">
            <v>6.8289935677780207</v>
          </cell>
          <cell r="AA56">
            <v>6.8771069129809845</v>
          </cell>
          <cell r="AB56">
            <v>10.90999577076458</v>
          </cell>
          <cell r="AC56">
            <v>5.8496409170102233</v>
          </cell>
          <cell r="AD56">
            <v>5.941156090894629</v>
          </cell>
          <cell r="AE56">
            <v>9.2080083704359463</v>
          </cell>
          <cell r="AF56">
            <v>9.2088952909108492</v>
          </cell>
          <cell r="AG56">
            <v>5.27700844465671</v>
          </cell>
          <cell r="AH56">
            <v>5.8496409170102233</v>
          </cell>
          <cell r="AI56">
            <v>9.2080083704359463</v>
          </cell>
          <cell r="AJ56">
            <v>9.2080083704359463</v>
          </cell>
          <cell r="AK56">
            <v>5.27700844465671</v>
          </cell>
          <cell r="AL56">
            <v>5.941156090894629</v>
          </cell>
          <cell r="AM56">
            <v>5.8496409170102233</v>
          </cell>
          <cell r="AN56">
            <v>5.941156090894629</v>
          </cell>
          <cell r="AO56">
            <v>5.0708147626557274</v>
          </cell>
          <cell r="AP56">
            <v>5.0708147626557274</v>
          </cell>
          <cell r="AQ56">
            <v>5.0708147626557274</v>
          </cell>
          <cell r="AR56">
            <v>5.2829586064256349</v>
          </cell>
          <cell r="AS56">
            <v>7.5567920513400892</v>
          </cell>
          <cell r="AT56">
            <v>6.3650403991334503</v>
          </cell>
          <cell r="AU56">
            <v>8.7859045753193303</v>
          </cell>
          <cell r="AV56">
            <v>8.568753297604232</v>
          </cell>
          <cell r="AW56">
            <v>7.5459331064454354</v>
          </cell>
          <cell r="AX56">
            <v>6.0745886753176555</v>
          </cell>
          <cell r="AY56">
            <v>5.941156090894629</v>
          </cell>
          <cell r="AZ56">
            <v>6.1944560404673377</v>
          </cell>
          <cell r="BA56">
            <v>8.8893093194465553</v>
          </cell>
          <cell r="BB56">
            <v>8.5409639714128875</v>
          </cell>
          <cell r="BC56">
            <v>6.487399173651581</v>
          </cell>
          <cell r="BD56">
            <v>6.1814653811939531</v>
          </cell>
        </row>
        <row r="57">
          <cell r="B57">
            <v>5.3349907559338554</v>
          </cell>
          <cell r="C57">
            <v>5.9490848125993967</v>
          </cell>
          <cell r="D57">
            <v>6.0421557444398371</v>
          </cell>
          <cell r="E57">
            <v>6.0409579673466718</v>
          </cell>
          <cell r="F57">
            <v>6.0409579673466718</v>
          </cell>
          <cell r="G57">
            <v>5.157018613620874</v>
          </cell>
          <cell r="H57">
            <v>8.3527787660546711</v>
          </cell>
          <cell r="I57">
            <v>6.3443645758801264</v>
          </cell>
          <cell r="J57">
            <v>9.4658326048081509</v>
          </cell>
          <cell r="K57">
            <v>6.3443645758801264</v>
          </cell>
          <cell r="L57">
            <v>5.3667175882158737</v>
          </cell>
          <cell r="M57">
            <v>9.4658326048081509</v>
          </cell>
          <cell r="N57">
            <v>5.157018613620874</v>
          </cell>
          <cell r="O57">
            <v>6.0421557444398371</v>
          </cell>
          <cell r="P57">
            <v>6.0421557444398371</v>
          </cell>
          <cell r="Q57">
            <v>6.0409579673466718</v>
          </cell>
          <cell r="R57">
            <v>9.4658326048081509</v>
          </cell>
          <cell r="S57">
            <v>9.4658326048081509</v>
          </cell>
          <cell r="T57">
            <v>5.3667175882158737</v>
          </cell>
          <cell r="U57">
            <v>5.9490848125993967</v>
          </cell>
          <cell r="V57">
            <v>8.3527787660546711</v>
          </cell>
          <cell r="W57">
            <v>6.0421557444398371</v>
          </cell>
          <cell r="X57">
            <v>6.0421557444398371</v>
          </cell>
          <cell r="Y57">
            <v>6.0421557444398371</v>
          </cell>
          <cell r="Z57">
            <v>6.9450864584302465</v>
          </cell>
          <cell r="AA57">
            <v>7.0352803719795469</v>
          </cell>
          <cell r="AB57">
            <v>11.150015677721401</v>
          </cell>
          <cell r="AC57">
            <v>5.9490848125993967</v>
          </cell>
          <cell r="AD57">
            <v>6.0421557444398371</v>
          </cell>
          <cell r="AE57">
            <v>9.4658326048081509</v>
          </cell>
          <cell r="AF57">
            <v>9.4667443590563511</v>
          </cell>
          <cell r="AG57">
            <v>5.3667175882158737</v>
          </cell>
          <cell r="AH57">
            <v>5.9490848125993967</v>
          </cell>
          <cell r="AI57">
            <v>9.4658326048081509</v>
          </cell>
          <cell r="AJ57">
            <v>9.4658326048081509</v>
          </cell>
          <cell r="AK57">
            <v>5.3667175882158737</v>
          </cell>
          <cell r="AL57">
            <v>6.0421557444398371</v>
          </cell>
          <cell r="AM57">
            <v>5.9490848125993967</v>
          </cell>
          <cell r="AN57">
            <v>6.0421557444398371</v>
          </cell>
          <cell r="AO57">
            <v>5.157018613620874</v>
          </cell>
          <cell r="AP57">
            <v>5.157018613620874</v>
          </cell>
          <cell r="AQ57">
            <v>5.157018613620874</v>
          </cell>
          <cell r="AR57">
            <v>5.3733181800692069</v>
          </cell>
          <cell r="AS57">
            <v>7.7108441300934549</v>
          </cell>
          <cell r="AT57">
            <v>6.49423652809626</v>
          </cell>
          <cell r="AU57">
            <v>9.0290546137809429</v>
          </cell>
          <cell r="AV57">
            <v>8.8005761661138759</v>
          </cell>
          <cell r="AW57">
            <v>7.6867116782781952</v>
          </cell>
          <cell r="AX57">
            <v>6.1829593372853227</v>
          </cell>
          <cell r="AY57">
            <v>6.0421557444398371</v>
          </cell>
          <cell r="AZ57">
            <v>6.313763968295663</v>
          </cell>
          <cell r="BA57">
            <v>9.1225081571025566</v>
          </cell>
          <cell r="BB57">
            <v>8.7650229654468248</v>
          </cell>
          <cell r="BC57">
            <v>6.6106554770017247</v>
          </cell>
          <cell r="BD57">
            <v>6.2943750133062597</v>
          </cell>
        </row>
        <row r="58">
          <cell r="B58">
            <v>5.4256855987847308</v>
          </cell>
          <cell r="C58">
            <v>6.0502192544135855</v>
          </cell>
          <cell r="D58">
            <v>6.1448723920953139</v>
          </cell>
          <cell r="E58">
            <v>6.1436542527915643</v>
          </cell>
          <cell r="F58">
            <v>6.1436542527915643</v>
          </cell>
          <cell r="G58">
            <v>5.2446879300524287</v>
          </cell>
          <cell r="H58">
            <v>8.4947760050776004</v>
          </cell>
          <cell r="I58">
            <v>6.4522187736700882</v>
          </cell>
          <cell r="J58">
            <v>9.730875917742777</v>
          </cell>
          <cell r="K58">
            <v>6.4522187736700882</v>
          </cell>
          <cell r="L58">
            <v>5.457951787215543</v>
          </cell>
          <cell r="M58">
            <v>9.730875917742777</v>
          </cell>
          <cell r="N58">
            <v>5.2446879300524287</v>
          </cell>
          <cell r="O58">
            <v>6.1448723920953139</v>
          </cell>
          <cell r="P58">
            <v>6.1448723920953139</v>
          </cell>
          <cell r="Q58">
            <v>6.1436542527915643</v>
          </cell>
          <cell r="R58">
            <v>9.730875917742777</v>
          </cell>
          <cell r="S58">
            <v>9.730875917742777</v>
          </cell>
          <cell r="T58">
            <v>5.457951787215543</v>
          </cell>
          <cell r="U58">
            <v>6.0502192544135855</v>
          </cell>
          <cell r="V58">
            <v>8.4947760050776004</v>
          </cell>
          <cell r="W58">
            <v>6.1448723920953139</v>
          </cell>
          <cell r="X58">
            <v>6.1448723920953139</v>
          </cell>
          <cell r="Y58">
            <v>6.1448723920953139</v>
          </cell>
          <cell r="Z58">
            <v>7.0631529282235599</v>
          </cell>
          <cell r="AA58">
            <v>7.1970918205350758</v>
          </cell>
          <cell r="AB58">
            <v>11.395316022631272</v>
          </cell>
          <cell r="AC58">
            <v>6.0502192544135855</v>
          </cell>
          <cell r="AD58">
            <v>6.1448723920953139</v>
          </cell>
          <cell r="AE58">
            <v>9.730875917742777</v>
          </cell>
          <cell r="AF58">
            <v>9.7318132011099276</v>
          </cell>
          <cell r="AG58">
            <v>5.457951787215543</v>
          </cell>
          <cell r="AH58">
            <v>6.0502192544135855</v>
          </cell>
          <cell r="AI58">
            <v>9.730875917742777</v>
          </cell>
          <cell r="AJ58">
            <v>9.730875917742777</v>
          </cell>
          <cell r="AK58">
            <v>5.457951787215543</v>
          </cell>
          <cell r="AL58">
            <v>6.1448723920953139</v>
          </cell>
          <cell r="AM58">
            <v>6.0502192544135855</v>
          </cell>
          <cell r="AN58">
            <v>6.1448723920953139</v>
          </cell>
          <cell r="AO58">
            <v>5.2446879300524287</v>
          </cell>
          <cell r="AP58">
            <v>5.2446879300524287</v>
          </cell>
          <cell r="AQ58">
            <v>5.2446879300524287</v>
          </cell>
          <cell r="AR58">
            <v>5.4652232612886129</v>
          </cell>
          <cell r="AS58">
            <v>7.868036700580217</v>
          </cell>
          <cell r="AT58">
            <v>6.6260550504285201</v>
          </cell>
          <cell r="AU58">
            <v>9.2789338331364579</v>
          </cell>
          <cell r="AV58">
            <v>9.0386708737694867</v>
          </cell>
          <cell r="AW58">
            <v>7.8301166458141376</v>
          </cell>
          <cell r="AX58">
            <v>6.2932633318624935</v>
          </cell>
          <cell r="AY58">
            <v>6.1448723920953139</v>
          </cell>
          <cell r="AZ58">
            <v>6.4353698189035997</v>
          </cell>
          <cell r="BA58">
            <v>9.3618246464151547</v>
          </cell>
          <cell r="BB58">
            <v>8.9949598010189682</v>
          </cell>
          <cell r="BC58">
            <v>6.7362535687803105</v>
          </cell>
          <cell r="BD58">
            <v>6.4093470342272987</v>
          </cell>
        </row>
        <row r="59">
          <cell r="B59">
            <v>5.5179222539640707</v>
          </cell>
          <cell r="C59">
            <v>6.1530729817386156</v>
          </cell>
          <cell r="D59">
            <v>6.2493352227609336</v>
          </cell>
          <cell r="E59">
            <v>6.2480963750890206</v>
          </cell>
          <cell r="F59">
            <v>6.2480963750890206</v>
          </cell>
          <cell r="G59">
            <v>5.3338476248633198</v>
          </cell>
          <cell r="H59">
            <v>8.6391871971639187</v>
          </cell>
          <cell r="I59">
            <v>6.5619064928224793</v>
          </cell>
          <cell r="J59">
            <v>10.003340443439573</v>
          </cell>
          <cell r="K59">
            <v>6.5619064928224793</v>
          </cell>
          <cell r="L59">
            <v>5.5507369675982066</v>
          </cell>
          <cell r="M59">
            <v>10.003340443439573</v>
          </cell>
          <cell r="N59">
            <v>5.3338476248633198</v>
          </cell>
          <cell r="O59">
            <v>6.2493352227609336</v>
          </cell>
          <cell r="P59">
            <v>6.2493352227609336</v>
          </cell>
          <cell r="Q59">
            <v>6.2480963750890206</v>
          </cell>
          <cell r="R59">
            <v>10.003340443439573</v>
          </cell>
          <cell r="S59">
            <v>10.003340443439573</v>
          </cell>
          <cell r="T59">
            <v>5.5507369675982066</v>
          </cell>
          <cell r="U59">
            <v>6.1530729817386156</v>
          </cell>
          <cell r="V59">
            <v>8.6391871971639187</v>
          </cell>
          <cell r="W59">
            <v>6.2493352227609336</v>
          </cell>
          <cell r="X59">
            <v>6.2493352227609336</v>
          </cell>
          <cell r="Y59">
            <v>6.2493352227609336</v>
          </cell>
          <cell r="Z59">
            <v>7.1832265280033596</v>
          </cell>
          <cell r="AA59">
            <v>7.3626249324073818</v>
          </cell>
          <cell r="AB59">
            <v>11.64601297512916</v>
          </cell>
          <cell r="AC59">
            <v>6.1530729817386156</v>
          </cell>
          <cell r="AD59">
            <v>6.2493352227609336</v>
          </cell>
          <cell r="AE59">
            <v>10.003340443439573</v>
          </cell>
          <cell r="AF59">
            <v>10.004303970741004</v>
          </cell>
          <cell r="AG59">
            <v>5.5507369675982066</v>
          </cell>
          <cell r="AH59">
            <v>6.1530729817386156</v>
          </cell>
          <cell r="AI59">
            <v>10.003340443439573</v>
          </cell>
          <cell r="AJ59">
            <v>10.003340443439573</v>
          </cell>
          <cell r="AK59">
            <v>5.5507369675982066</v>
          </cell>
          <cell r="AL59">
            <v>6.2493352227609336</v>
          </cell>
          <cell r="AM59">
            <v>6.1530729817386156</v>
          </cell>
          <cell r="AN59">
            <v>6.2493352227609336</v>
          </cell>
          <cell r="AO59">
            <v>5.3338476248633198</v>
          </cell>
          <cell r="AP59">
            <v>5.3338476248633198</v>
          </cell>
          <cell r="AQ59">
            <v>5.3338476248633198</v>
          </cell>
          <cell r="AR59">
            <v>5.5587002844014428</v>
          </cell>
          <cell r="AS59">
            <v>8.0284337845805904</v>
          </cell>
          <cell r="AT59">
            <v>6.7605491948688892</v>
          </cell>
          <cell r="AU59">
            <v>9.5357284635661763</v>
          </cell>
          <cell r="AV59">
            <v>9.2832071017009952</v>
          </cell>
          <cell r="AW59">
            <v>7.9761970076636324</v>
          </cell>
          <cell r="AX59">
            <v>6.4055351497029207</v>
          </cell>
          <cell r="AY59">
            <v>6.2493352227609336</v>
          </cell>
          <cell r="AZ59">
            <v>6.5593178512871519</v>
          </cell>
          <cell r="BA59">
            <v>9.6074192755847516</v>
          </cell>
          <cell r="BB59">
            <v>9.2309286742208307</v>
          </cell>
          <cell r="BC59">
            <v>6.8642379414221635</v>
          </cell>
          <cell r="BD59">
            <v>6.5264191152125575</v>
          </cell>
        </row>
        <row r="60">
          <cell r="B60">
            <v>5.6117269322814591</v>
          </cell>
          <cell r="C60">
            <v>6.2576752224281718</v>
          </cell>
          <cell r="D60">
            <v>6.3555739215478688</v>
          </cell>
          <cell r="E60">
            <v>6.3543140134655332</v>
          </cell>
          <cell r="F60">
            <v>6.3543140134655332</v>
          </cell>
          <cell r="G60">
            <v>5.424523034485996</v>
          </cell>
          <cell r="H60">
            <v>8.786053379515705</v>
          </cell>
          <cell r="I60">
            <v>6.6734589032004612</v>
          </cell>
          <cell r="J60">
            <v>10.283433975855878</v>
          </cell>
          <cell r="K60">
            <v>6.6734589032004612</v>
          </cell>
          <cell r="L60">
            <v>5.6450994960473757</v>
          </cell>
          <cell r="M60">
            <v>10.283433975855878</v>
          </cell>
          <cell r="N60">
            <v>5.424523034485996</v>
          </cell>
          <cell r="O60">
            <v>6.3555739215478688</v>
          </cell>
          <cell r="P60">
            <v>6.3555739215478688</v>
          </cell>
          <cell r="Q60">
            <v>6.3543140134655332</v>
          </cell>
          <cell r="R60">
            <v>10.283433975855878</v>
          </cell>
          <cell r="S60">
            <v>10.283433975855878</v>
          </cell>
          <cell r="T60">
            <v>5.6450994960473757</v>
          </cell>
          <cell r="U60">
            <v>6.2576752224281718</v>
          </cell>
          <cell r="V60">
            <v>8.786053379515705</v>
          </cell>
          <cell r="W60">
            <v>6.3555739215478688</v>
          </cell>
          <cell r="X60">
            <v>6.3555739215478688</v>
          </cell>
          <cell r="Y60">
            <v>6.3555739215478688</v>
          </cell>
          <cell r="Z60">
            <v>7.3053413789794162</v>
          </cell>
          <cell r="AA60">
            <v>7.5319653058527507</v>
          </cell>
          <cell r="AB60">
            <v>11.902225260582002</v>
          </cell>
          <cell r="AC60">
            <v>6.2576752224281718</v>
          </cell>
          <cell r="AD60">
            <v>6.3555739215478688</v>
          </cell>
          <cell r="AE60">
            <v>10.283433975855878</v>
          </cell>
          <cell r="AF60">
            <v>10.28442448192175</v>
          </cell>
          <cell r="AG60">
            <v>5.6450994960473757</v>
          </cell>
          <cell r="AH60">
            <v>6.2576752224281718</v>
          </cell>
          <cell r="AI60">
            <v>10.283433975855878</v>
          </cell>
          <cell r="AJ60">
            <v>10.283433975855878</v>
          </cell>
          <cell r="AK60">
            <v>5.6450994960473757</v>
          </cell>
          <cell r="AL60">
            <v>6.3555739215478688</v>
          </cell>
          <cell r="AM60">
            <v>6.2576752224281718</v>
          </cell>
          <cell r="AN60">
            <v>6.3555739215478688</v>
          </cell>
          <cell r="AO60">
            <v>5.424523034485996</v>
          </cell>
          <cell r="AP60">
            <v>5.424523034485996</v>
          </cell>
          <cell r="AQ60">
            <v>5.424523034485996</v>
          </cell>
          <cell r="AR60">
            <v>5.6537761358571013</v>
          </cell>
          <cell r="AS60">
            <v>8.1921007090170068</v>
          </cell>
          <cell r="AT60">
            <v>6.8977732705807435</v>
          </cell>
          <cell r="AU60">
            <v>9.7996298891733797</v>
          </cell>
          <cell r="AV60">
            <v>9.5343591216672046</v>
          </cell>
          <cell r="AW60">
            <v>8.1250026765657992</v>
          </cell>
          <cell r="AX60">
            <v>6.5198098967736211</v>
          </cell>
          <cell r="AY60">
            <v>6.3555739215478688</v>
          </cell>
          <cell r="AZ60">
            <v>6.6856531768899101</v>
          </cell>
          <cell r="BA60">
            <v>9.8594567429995656</v>
          </cell>
          <cell r="BB60">
            <v>9.473087826240155</v>
          </cell>
          <cell r="BC60">
            <v>6.9946539326890109</v>
          </cell>
          <cell r="BD60">
            <v>6.6456296156144941</v>
          </cell>
        </row>
        <row r="61">
          <cell r="B61">
            <v>5.7071262901302431</v>
          </cell>
          <cell r="C61">
            <v>6.3640557012094501</v>
          </cell>
          <cell r="D61">
            <v>6.463618678214182</v>
          </cell>
          <cell r="E61">
            <v>6.4623373516944467</v>
          </cell>
          <cell r="F61">
            <v>6.4623373516944467</v>
          </cell>
          <cell r="G61">
            <v>5.5167399260722574</v>
          </cell>
          <cell r="H61">
            <v>8.9354162869674703</v>
          </cell>
          <cell r="I61">
            <v>6.786907704554868</v>
          </cell>
          <cell r="J61">
            <v>10.571370127179842</v>
          </cell>
          <cell r="K61">
            <v>6.786907704554868</v>
          </cell>
          <cell r="L61">
            <v>5.7410661874801807</v>
          </cell>
          <cell r="M61">
            <v>10.571370127179842</v>
          </cell>
          <cell r="N61">
            <v>5.5167399260722574</v>
          </cell>
          <cell r="O61">
            <v>6.463618678214182</v>
          </cell>
          <cell r="P61">
            <v>6.463618678214182</v>
          </cell>
          <cell r="Q61">
            <v>6.4623373516944467</v>
          </cell>
          <cell r="R61">
            <v>10.571370127179842</v>
          </cell>
          <cell r="S61">
            <v>10.571370127179842</v>
          </cell>
          <cell r="T61">
            <v>5.7410661874801807</v>
          </cell>
          <cell r="U61">
            <v>6.3640557012094501</v>
          </cell>
          <cell r="V61">
            <v>8.9354162869674703</v>
          </cell>
          <cell r="W61">
            <v>6.463618678214182</v>
          </cell>
          <cell r="X61">
            <v>6.463618678214182</v>
          </cell>
          <cell r="Y61">
            <v>6.463618678214182</v>
          </cell>
          <cell r="Z61">
            <v>7.4295321824220659</v>
          </cell>
          <cell r="AA61">
            <v>7.7052005078873629</v>
          </cell>
          <cell r="AB61">
            <v>12.164074216314805</v>
          </cell>
          <cell r="AC61">
            <v>6.3640557012094501</v>
          </cell>
          <cell r="AD61">
            <v>6.463618678214182</v>
          </cell>
          <cell r="AE61">
            <v>10.571370127179842</v>
          </cell>
          <cell r="AF61">
            <v>10.572388367415558</v>
          </cell>
          <cell r="AG61">
            <v>5.7410661874801807</v>
          </cell>
          <cell r="AH61">
            <v>6.3640557012094501</v>
          </cell>
          <cell r="AI61">
            <v>10.571370127179842</v>
          </cell>
          <cell r="AJ61">
            <v>10.571370127179842</v>
          </cell>
          <cell r="AK61">
            <v>5.7410661874801807</v>
          </cell>
          <cell r="AL61">
            <v>6.463618678214182</v>
          </cell>
          <cell r="AM61">
            <v>6.3640557012094501</v>
          </cell>
          <cell r="AN61">
            <v>6.463618678214182</v>
          </cell>
          <cell r="AO61">
            <v>5.5167399260722574</v>
          </cell>
          <cell r="AP61">
            <v>5.5167399260722574</v>
          </cell>
          <cell r="AQ61">
            <v>5.5167399260722574</v>
          </cell>
          <cell r="AR61">
            <v>5.7504781619700598</v>
          </cell>
          <cell r="AS61">
            <v>8.3591041325606241</v>
          </cell>
          <cell r="AT61">
            <v>7.0377826890823911</v>
          </cell>
          <cell r="AU61">
            <v>10.070834790619225</v>
          </cell>
          <cell r="AV61">
            <v>9.7923059202527067</v>
          </cell>
          <cell r="AW61">
            <v>8.2765844964426911</v>
          </cell>
          <cell r="AX61">
            <v>6.6361233053320632</v>
          </cell>
          <cell r="AY61">
            <v>6.463618678214182</v>
          </cell>
          <cell r="AZ61">
            <v>6.8144217760215646</v>
          </cell>
          <cell r="BA61">
            <v>10.118106067684137</v>
          </cell>
          <cell r="BB61">
            <v>9.7215996494777581</v>
          </cell>
          <cell r="BC61">
            <v>7.1275477417301341</v>
          </cell>
          <cell r="BD61">
            <v>6.7670175954512031</v>
          </cell>
        </row>
        <row r="62">
          <cell r="B62">
            <v>5.8041474370624568</v>
          </cell>
          <cell r="C62">
            <v>6.47224464813001</v>
          </cell>
          <cell r="D62">
            <v>6.5735001957438222</v>
          </cell>
          <cell r="E62">
            <v>6.5721970866732518</v>
          </cell>
          <cell r="F62">
            <v>6.5721970866732518</v>
          </cell>
          <cell r="G62">
            <v>5.6105245048154853</v>
          </cell>
          <cell r="H62">
            <v>9.0873183638459167</v>
          </cell>
          <cell r="I62">
            <v>6.9022851355323001</v>
          </cell>
          <cell r="J62">
            <v>10.867368490740875</v>
          </cell>
          <cell r="K62">
            <v>6.9022851355323001</v>
          </cell>
          <cell r="L62">
            <v>5.8386643126673432</v>
          </cell>
          <cell r="M62">
            <v>10.867368490740875</v>
          </cell>
          <cell r="N62">
            <v>5.6105245048154853</v>
          </cell>
          <cell r="O62">
            <v>6.5735001957438222</v>
          </cell>
          <cell r="P62">
            <v>6.5735001957438222</v>
          </cell>
          <cell r="Q62">
            <v>6.5721970866732518</v>
          </cell>
          <cell r="R62">
            <v>10.867368490740875</v>
          </cell>
          <cell r="S62">
            <v>10.867368490740875</v>
          </cell>
          <cell r="T62">
            <v>5.8386643126673432</v>
          </cell>
          <cell r="U62">
            <v>6.47224464813001</v>
          </cell>
          <cell r="V62">
            <v>9.0873183638459167</v>
          </cell>
          <cell r="W62">
            <v>6.5735001957438222</v>
          </cell>
          <cell r="X62">
            <v>6.5735001957438222</v>
          </cell>
          <cell r="Y62">
            <v>6.5735001957438222</v>
          </cell>
          <cell r="Z62">
            <v>7.5558342295232404</v>
          </cell>
          <cell r="AA62">
            <v>7.8824201195687715</v>
          </cell>
          <cell r="AB62">
            <v>12.431683849073732</v>
          </cell>
          <cell r="AC62">
            <v>6.47224464813001</v>
          </cell>
          <cell r="AD62">
            <v>6.5735001957438222</v>
          </cell>
          <cell r="AE62">
            <v>10.867368490740875</v>
          </cell>
          <cell r="AF62">
            <v>10.868415241703191</v>
          </cell>
          <cell r="AG62">
            <v>5.8386643126673432</v>
          </cell>
          <cell r="AH62">
            <v>6.47224464813001</v>
          </cell>
          <cell r="AI62">
            <v>10.867368490740875</v>
          </cell>
          <cell r="AJ62">
            <v>10.867368490740875</v>
          </cell>
          <cell r="AK62">
            <v>5.8386643126673432</v>
          </cell>
          <cell r="AL62">
            <v>6.5735001957438222</v>
          </cell>
          <cell r="AM62">
            <v>6.47224464813001</v>
          </cell>
          <cell r="AN62">
            <v>6.5735001957438222</v>
          </cell>
          <cell r="AO62">
            <v>5.6105245048154853</v>
          </cell>
          <cell r="AP62">
            <v>5.6105245048154853</v>
          </cell>
          <cell r="AQ62">
            <v>5.6105245048154853</v>
          </cell>
          <cell r="AR62">
            <v>5.8488341767853731</v>
          </cell>
          <cell r="AS62">
            <v>8.5295120727802374</v>
          </cell>
          <cell r="AT62">
            <v>7.1806339866224196</v>
          </cell>
          <cell r="AU62">
            <v>10.349545291705065</v>
          </cell>
          <cell r="AV62">
            <v>10.05723132642488</v>
          </cell>
          <cell r="AW62">
            <v>8.4309942597716461</v>
          </cell>
          <cell r="AX62">
            <v>6.7545117450991876</v>
          </cell>
          <cell r="AY62">
            <v>6.5735001957438222</v>
          </cell>
          <cell r="AZ62">
            <v>6.9456705145926456</v>
          </cell>
          <cell r="BA62">
            <v>10.383540702645289</v>
          </cell>
          <cell r="BB62">
            <v>9.9766307964482017</v>
          </cell>
          <cell r="BC62">
            <v>7.2629664454481651</v>
          </cell>
          <cell r="BD62">
            <v>6.8906228282046582</v>
          </cell>
        </row>
      </sheetData>
      <sheetData sheetId="12"/>
      <sheetData sheetId="13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</row>
        <row r="7">
          <cell r="B7">
            <v>1.0309575913287803</v>
          </cell>
          <cell r="C7">
            <v>1.1573757754540852</v>
          </cell>
          <cell r="D7">
            <v>1.0080467504786299</v>
          </cell>
          <cell r="E7">
            <v>1.0571215841233979</v>
          </cell>
          <cell r="F7">
            <v>1.0619279378574713</v>
          </cell>
          <cell r="G7">
            <v>1.0617723417217002</v>
          </cell>
          <cell r="H7">
            <v>1.2575070699691739</v>
          </cell>
          <cell r="I7">
            <v>1.1652026064033398</v>
          </cell>
          <cell r="J7">
            <v>1</v>
          </cell>
          <cell r="K7">
            <v>1.1652026064033398</v>
          </cell>
          <cell r="L7">
            <v>1.0005193169043585</v>
          </cell>
          <cell r="M7">
            <v>1</v>
          </cell>
          <cell r="N7">
            <v>1.0199005812118678</v>
          </cell>
          <cell r="O7">
            <v>1.0704204300886089</v>
          </cell>
          <cell r="P7">
            <v>1.0080467504786299</v>
          </cell>
          <cell r="Q7">
            <v>1.0617723417217002</v>
          </cell>
          <cell r="R7">
            <v>1</v>
          </cell>
          <cell r="S7">
            <v>1</v>
          </cell>
          <cell r="T7">
            <v>1.0012024691045918</v>
          </cell>
          <cell r="U7">
            <v>1.1573757754540852</v>
          </cell>
          <cell r="V7">
            <v>1.099290126033144</v>
          </cell>
          <cell r="W7">
            <v>1.0205366690644104</v>
          </cell>
          <cell r="X7">
            <v>1.0883073686216955</v>
          </cell>
          <cell r="Y7">
            <v>1.0883073686216955</v>
          </cell>
          <cell r="Z7">
            <v>1</v>
          </cell>
          <cell r="AA7">
            <v>1</v>
          </cell>
          <cell r="AB7">
            <v>1</v>
          </cell>
          <cell r="AC7">
            <v>1.1573757754540852</v>
          </cell>
          <cell r="AD7">
            <v>1.0149858735863422</v>
          </cell>
          <cell r="AE7">
            <v>1</v>
          </cell>
          <cell r="AF7">
            <v>1</v>
          </cell>
          <cell r="AG7">
            <v>1.0005193169043585</v>
          </cell>
          <cell r="AH7">
            <v>1.1573757754540852</v>
          </cell>
          <cell r="AI7">
            <v>1</v>
          </cell>
          <cell r="AJ7">
            <v>1</v>
          </cell>
          <cell r="AK7">
            <v>1.0012024691045918</v>
          </cell>
          <cell r="AL7">
            <v>1.0093810470798976</v>
          </cell>
          <cell r="AM7">
            <v>1.0249728836958854</v>
          </cell>
          <cell r="AN7">
            <v>1.0108601638410164</v>
          </cell>
          <cell r="AO7">
            <v>1.0240642854420736</v>
          </cell>
          <cell r="AP7">
            <v>1.0240642854420736</v>
          </cell>
          <cell r="AQ7">
            <v>1.0240642854420736</v>
          </cell>
          <cell r="AR7">
            <v>1.0274129471216349</v>
          </cell>
          <cell r="AS7">
            <v>1.0033587136497801</v>
          </cell>
          <cell r="AT7">
            <v>1.0040491248408465</v>
          </cell>
          <cell r="AU7">
            <v>1.0000929057941899</v>
          </cell>
          <cell r="AV7">
            <v>1.0000788692774678</v>
          </cell>
          <cell r="AW7">
            <v>1.0109075312091758</v>
          </cell>
          <cell r="AX7">
            <v>1.0176615353953928</v>
          </cell>
          <cell r="AY7">
            <v>1.0205366690644104</v>
          </cell>
          <cell r="AZ7">
            <v>1.1460708809908955</v>
          </cell>
          <cell r="BA7">
            <v>1.0000793629609031</v>
          </cell>
          <cell r="BB7">
            <v>1.0002561259192781</v>
          </cell>
          <cell r="BC7">
            <v>1.0057936603446134</v>
          </cell>
          <cell r="BD7">
            <v>1.0071213741735874</v>
          </cell>
          <cell r="BE7">
            <v>1.0184234120640001</v>
          </cell>
          <cell r="BF7">
            <v>1.0432521038340641</v>
          </cell>
          <cell r="BG7">
            <v>1.0460423608785601</v>
          </cell>
          <cell r="BH7">
            <v>1.0385714866732241</v>
          </cell>
          <cell r="BI7">
            <v>1.0474057221238724</v>
          </cell>
          <cell r="BJ7">
            <v>1.052807196467856</v>
          </cell>
          <cell r="BK7">
            <v>1</v>
          </cell>
          <cell r="BL7">
            <v>1.0105337468</v>
          </cell>
          <cell r="BM7">
            <v>1</v>
          </cell>
          <cell r="BN7">
            <v>1.0096180000000001</v>
          </cell>
          <cell r="BO7">
            <v>1.1001756000000003</v>
          </cell>
          <cell r="BP7">
            <v>1.0105084</v>
          </cell>
          <cell r="BQ7">
            <v>1.0537266339913742</v>
          </cell>
          <cell r="BR7">
            <v>1.0543525919280001</v>
          </cell>
          <cell r="BS7">
            <v>1.0528869935280001</v>
          </cell>
          <cell r="BT7">
            <v>1.0357125774160001</v>
          </cell>
          <cell r="BU7">
            <v>0</v>
          </cell>
          <cell r="BV7">
            <v>1</v>
          </cell>
          <cell r="BW7">
            <v>1.0024898050000002</v>
          </cell>
          <cell r="BX7">
            <v>1.0003459748068924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>
            <v>1.0258218751948234</v>
          </cell>
          <cell r="C8">
            <v>1.1308007142945606</v>
          </cell>
          <cell r="D8">
            <v>1.0075643940431926</v>
          </cell>
          <cell r="E8">
            <v>1.0539836210916638</v>
          </cell>
          <cell r="F8">
            <v>1.0609696932127126</v>
          </cell>
          <cell r="G8">
            <v>1.061968735561029</v>
          </cell>
          <cell r="H8">
            <v>1.28175860365161</v>
          </cell>
          <cell r="I8">
            <v>1.1918677983048225</v>
          </cell>
          <cell r="J8">
            <v>1</v>
          </cell>
          <cell r="K8">
            <v>1.1918677983048225</v>
          </cell>
          <cell r="L8">
            <v>1.0001625176594142</v>
          </cell>
          <cell r="M8">
            <v>1</v>
          </cell>
          <cell r="N8">
            <v>1.0199005812118678</v>
          </cell>
          <cell r="O8">
            <v>1.0881679533887427</v>
          </cell>
          <cell r="P8">
            <v>1.0075643940431926</v>
          </cell>
          <cell r="Q8">
            <v>1.061968735561029</v>
          </cell>
          <cell r="R8">
            <v>1</v>
          </cell>
          <cell r="S8">
            <v>1</v>
          </cell>
          <cell r="T8">
            <v>1.000705535084665</v>
          </cell>
          <cell r="U8">
            <v>1.1308007142945606</v>
          </cell>
          <cell r="V8">
            <v>1.1018819974158101</v>
          </cell>
          <cell r="W8">
            <v>1.0190611873872069</v>
          </cell>
          <cell r="X8">
            <v>1.1057220108386459</v>
          </cell>
          <cell r="Y8">
            <v>1.1057220108386459</v>
          </cell>
          <cell r="Z8">
            <v>1</v>
          </cell>
          <cell r="AA8">
            <v>1</v>
          </cell>
          <cell r="AB8">
            <v>1</v>
          </cell>
          <cell r="AC8">
            <v>1.1308007142945606</v>
          </cell>
          <cell r="AD8">
            <v>1.0144165518429942</v>
          </cell>
          <cell r="AE8">
            <v>1</v>
          </cell>
          <cell r="AF8">
            <v>1</v>
          </cell>
          <cell r="AG8">
            <v>1.0001625176594142</v>
          </cell>
          <cell r="AH8">
            <v>1.1308007142945606</v>
          </cell>
          <cell r="AI8">
            <v>1</v>
          </cell>
          <cell r="AJ8">
            <v>1</v>
          </cell>
          <cell r="AK8">
            <v>1.0007055350846652</v>
          </cell>
          <cell r="AL8">
            <v>1.0093810470798976</v>
          </cell>
          <cell r="AM8">
            <v>1.0249728836958854</v>
          </cell>
          <cell r="AN8">
            <v>1.0108601638410164</v>
          </cell>
          <cell r="AO8">
            <v>1.0240642854420736</v>
          </cell>
          <cell r="AP8">
            <v>1.0240642854420736</v>
          </cell>
          <cell r="AQ8">
            <v>1.0240642854420736</v>
          </cell>
          <cell r="AR8">
            <v>1.0228652704850161</v>
          </cell>
          <cell r="AS8">
            <v>1.0031573780736287</v>
          </cell>
          <cell r="AT8">
            <v>1.0038064030825344</v>
          </cell>
          <cell r="AU8">
            <v>1.0000290744092692</v>
          </cell>
          <cell r="AV8">
            <v>1.0000246817507117</v>
          </cell>
          <cell r="AW8">
            <v>1.0104931479803401</v>
          </cell>
          <cell r="AX8">
            <v>1.0163926211529979</v>
          </cell>
          <cell r="AY8">
            <v>1.0190611873872069</v>
          </cell>
          <cell r="AZ8">
            <v>1.1214048065283031</v>
          </cell>
          <cell r="BA8">
            <v>1.0000465653155879</v>
          </cell>
          <cell r="BB8">
            <v>1.0001502789730337</v>
          </cell>
          <cell r="BC8">
            <v>1.0054463637110986</v>
          </cell>
          <cell r="BD8">
            <v>1.0066944887282254</v>
          </cell>
          <cell r="BE8">
            <v>1.0191812332599999</v>
          </cell>
          <cell r="BF8">
            <v>1.042323153619968</v>
          </cell>
          <cell r="BG8">
            <v>1.0527231357018139</v>
          </cell>
          <cell r="BH8">
            <v>1.0373432857831839</v>
          </cell>
          <cell r="BI8">
            <v>1.0581841781063499</v>
          </cell>
          <cell r="BJ8">
            <v>1.0522971816266118</v>
          </cell>
          <cell r="BK8">
            <v>1</v>
          </cell>
          <cell r="BL8">
            <v>1.0113182439999997</v>
          </cell>
          <cell r="BM8">
            <v>1</v>
          </cell>
          <cell r="BN8">
            <v>1.0103382999999999</v>
          </cell>
          <cell r="BO8">
            <v>1.0074924999999999</v>
          </cell>
          <cell r="BP8">
            <v>1.0104516999999997</v>
          </cell>
          <cell r="BQ8">
            <v>1.0590042375976254</v>
          </cell>
          <cell r="BR8">
            <v>1.0637220854980001</v>
          </cell>
          <cell r="BS8">
            <v>1.0597131611800001</v>
          </cell>
          <cell r="BT8">
            <v>1.02993391837</v>
          </cell>
          <cell r="BU8">
            <v>0</v>
          </cell>
          <cell r="BV8">
            <v>1</v>
          </cell>
          <cell r="BW8">
            <v>1.003328488</v>
          </cell>
          <cell r="BX8">
            <v>1.0004567598702074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</row>
        <row r="9">
          <cell r="B9">
            <v>1.0249911978606963</v>
          </cell>
          <cell r="C9">
            <v>1.1438502272183542</v>
          </cell>
          <cell r="D9">
            <v>1.0088269073777694</v>
          </cell>
          <cell r="E9">
            <v>1.0635770803167595</v>
          </cell>
          <cell r="F9">
            <v>1.0727904621364224</v>
          </cell>
          <cell r="G9">
            <v>1.0507529485913001</v>
          </cell>
          <cell r="H9">
            <v>1.3465771050599327</v>
          </cell>
          <cell r="I9">
            <v>1.2539789124052494</v>
          </cell>
          <cell r="J9">
            <v>1</v>
          </cell>
          <cell r="K9">
            <v>1.2539789124052494</v>
          </cell>
          <cell r="L9">
            <v>1.0012949298491773</v>
          </cell>
          <cell r="M9">
            <v>1</v>
          </cell>
          <cell r="N9">
            <v>1.0199005812118678</v>
          </cell>
          <cell r="O9">
            <v>1.1297337545122601</v>
          </cell>
          <cell r="P9">
            <v>1.0088269073777694</v>
          </cell>
          <cell r="Q9">
            <v>1.0507529485913001</v>
          </cell>
          <cell r="R9">
            <v>1</v>
          </cell>
          <cell r="S9">
            <v>1</v>
          </cell>
          <cell r="T9">
            <v>1.00197055159802</v>
          </cell>
          <cell r="U9">
            <v>1.1438502272183542</v>
          </cell>
          <cell r="V9">
            <v>1.1252440900259386</v>
          </cell>
          <cell r="W9">
            <v>1.0222298031978256</v>
          </cell>
          <cell r="X9">
            <v>1.1477661847260763</v>
          </cell>
          <cell r="Y9">
            <v>1.1477661847260763</v>
          </cell>
          <cell r="Z9">
            <v>1</v>
          </cell>
          <cell r="AA9">
            <v>1</v>
          </cell>
          <cell r="AB9">
            <v>1</v>
          </cell>
          <cell r="AC9">
            <v>1.1643341229921544</v>
          </cell>
          <cell r="AD9">
            <v>1.0135365238083438</v>
          </cell>
          <cell r="AE9">
            <v>1</v>
          </cell>
          <cell r="AF9">
            <v>1</v>
          </cell>
          <cell r="AG9">
            <v>1.0012949298491773</v>
          </cell>
          <cell r="AH9">
            <v>1.1438502272183542</v>
          </cell>
          <cell r="AI9">
            <v>1</v>
          </cell>
          <cell r="AJ9">
            <v>1</v>
          </cell>
          <cell r="AK9">
            <v>1.00197055159802</v>
          </cell>
          <cell r="AL9">
            <v>1.0093810470798976</v>
          </cell>
          <cell r="AM9">
            <v>1.0249728836958854</v>
          </cell>
          <cell r="AN9">
            <v>1.0108601638410164</v>
          </cell>
          <cell r="AO9">
            <v>1.0240642854420736</v>
          </cell>
          <cell r="AP9">
            <v>1.0240642854420736</v>
          </cell>
          <cell r="AQ9">
            <v>1.0240642854420736</v>
          </cell>
          <cell r="AR9">
            <v>1.0221297057056464</v>
          </cell>
          <cell r="AS9">
            <v>1.0036843511394811</v>
          </cell>
          <cell r="AT9">
            <v>1.0044416997924936</v>
          </cell>
          <cell r="AU9">
            <v>1.0002316629500179</v>
          </cell>
          <cell r="AV9">
            <v>1.0001966625401928</v>
          </cell>
          <cell r="AW9">
            <v>1.0098526158687089</v>
          </cell>
          <cell r="AX9">
            <v>1.01911763075013</v>
          </cell>
          <cell r="AY9">
            <v>1.0222298031978256</v>
          </cell>
          <cell r="AZ9">
            <v>1.1335169238079839</v>
          </cell>
          <cell r="BA9">
            <v>1.0001300564054694</v>
          </cell>
          <cell r="BB9">
            <v>1.0004197274903783</v>
          </cell>
          <cell r="BC9">
            <v>1.0063553733119939</v>
          </cell>
          <cell r="BD9">
            <v>1.0078118130293259</v>
          </cell>
          <cell r="BE9">
            <v>1.0232842110439997</v>
          </cell>
          <cell r="BF9">
            <v>1.0543672480914981</v>
          </cell>
          <cell r="BG9">
            <v>1.0667425590321882</v>
          </cell>
          <cell r="BH9">
            <v>1.0431582683176981</v>
          </cell>
          <cell r="BI9">
            <v>1.0597789253893222</v>
          </cell>
          <cell r="BJ9">
            <v>1.0607876932034883</v>
          </cell>
          <cell r="BK9">
            <v>1</v>
          </cell>
          <cell r="BL9">
            <v>1.014733498</v>
          </cell>
          <cell r="BM9">
            <v>1</v>
          </cell>
          <cell r="BN9">
            <v>1.0120090000000002</v>
          </cell>
          <cell r="BO9">
            <v>1.014424</v>
          </cell>
          <cell r="BP9">
            <v>1.0151049999999999</v>
          </cell>
          <cell r="BQ9">
            <v>1.0667144265353292</v>
          </cell>
          <cell r="BR9">
            <v>1.086260671232</v>
          </cell>
          <cell r="BS9">
            <v>1.0479737833659999</v>
          </cell>
          <cell r="BT9">
            <v>1.038409574216</v>
          </cell>
          <cell r="BU9">
            <v>0</v>
          </cell>
          <cell r="BV9">
            <v>1</v>
          </cell>
          <cell r="BW9">
            <v>1.0035639520000001</v>
          </cell>
          <cell r="BX9">
            <v>1.0004909278974987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>
            <v>1.0399239176317778</v>
          </cell>
          <cell r="C10">
            <v>1.1837372413776044</v>
          </cell>
          <cell r="D10">
            <v>1.0304215303673721</v>
          </cell>
          <cell r="E10">
            <v>1.1262630020966513</v>
          </cell>
          <cell r="F10">
            <v>1.0876464565478312</v>
          </cell>
          <cell r="G10">
            <v>1.0792955725188469</v>
          </cell>
          <cell r="H10">
            <v>1.4597250198164522</v>
          </cell>
          <cell r="I10">
            <v>1.3409098723315649</v>
          </cell>
          <cell r="J10">
            <v>1</v>
          </cell>
          <cell r="K10">
            <v>1.3409098723315649</v>
          </cell>
          <cell r="L10">
            <v>1.0020580551108402</v>
          </cell>
          <cell r="M10">
            <v>1</v>
          </cell>
          <cell r="N10">
            <v>1.0199005812118678</v>
          </cell>
          <cell r="O10">
            <v>1.2317796923026483</v>
          </cell>
          <cell r="P10">
            <v>1.0304215303673721</v>
          </cell>
          <cell r="Q10">
            <v>1.0792955725188471</v>
          </cell>
          <cell r="R10">
            <v>1</v>
          </cell>
          <cell r="S10">
            <v>1</v>
          </cell>
          <cell r="T10">
            <v>1.0018560837058694</v>
          </cell>
          <cell r="U10">
            <v>1.1837372413776044</v>
          </cell>
          <cell r="V10">
            <v>1.1660573556247678</v>
          </cell>
          <cell r="W10">
            <v>1.0674436274217189</v>
          </cell>
          <cell r="X10">
            <v>1.2630833546314553</v>
          </cell>
          <cell r="Y10">
            <v>1.2630833546314553</v>
          </cell>
          <cell r="Z10">
            <v>1</v>
          </cell>
          <cell r="AA10">
            <v>1</v>
          </cell>
          <cell r="AB10">
            <v>1</v>
          </cell>
          <cell r="AC10">
            <v>1.2032431193165567</v>
          </cell>
          <cell r="AD10">
            <v>1.0471313437057994</v>
          </cell>
          <cell r="AE10">
            <v>1</v>
          </cell>
          <cell r="AF10">
            <v>1</v>
          </cell>
          <cell r="AG10">
            <v>1.0020580551108402</v>
          </cell>
          <cell r="AH10">
            <v>1.1837372413776044</v>
          </cell>
          <cell r="AI10">
            <v>1</v>
          </cell>
          <cell r="AJ10">
            <v>1</v>
          </cell>
          <cell r="AK10">
            <v>1.0018560837058694</v>
          </cell>
          <cell r="AL10">
            <v>1.0093810470798976</v>
          </cell>
          <cell r="AM10">
            <v>1.0249728836958854</v>
          </cell>
          <cell r="AN10">
            <v>1.0108601638410164</v>
          </cell>
          <cell r="AO10">
            <v>1.0240642854420736</v>
          </cell>
          <cell r="AP10">
            <v>1.0240642854420736</v>
          </cell>
          <cell r="AQ10">
            <v>1.0240642854420736</v>
          </cell>
          <cell r="AR10">
            <v>1.0353526290629391</v>
          </cell>
          <cell r="AS10">
            <v>1.0126979467753412</v>
          </cell>
          <cell r="AT10">
            <v>1.0153081140808617</v>
          </cell>
          <cell r="AU10">
            <v>1.0003681860593294</v>
          </cell>
          <cell r="AV10">
            <v>1.0003125592835871</v>
          </cell>
          <cell r="AW10">
            <v>1.0343047470298909</v>
          </cell>
          <cell r="AX10">
            <v>1.0580015195826782</v>
          </cell>
          <cell r="AY10">
            <v>1.0674436274217189</v>
          </cell>
          <cell r="AZ10">
            <v>1.1705387035674606</v>
          </cell>
          <cell r="BA10">
            <v>1.0001225015245874</v>
          </cell>
          <cell r="BB10">
            <v>1.0003953458293502</v>
          </cell>
          <cell r="BC10">
            <v>1.0219035018645077</v>
          </cell>
          <cell r="BD10">
            <v>1.0269230543751242</v>
          </cell>
          <cell r="BE10">
            <v>1.0336251767306002</v>
          </cell>
          <cell r="BF10">
            <v>1.0620809087770542</v>
          </cell>
          <cell r="BG10">
            <v>1.071644025080418</v>
          </cell>
          <cell r="BH10">
            <v>1.0627038204054799</v>
          </cell>
          <cell r="BI10">
            <v>1.073138344329376</v>
          </cell>
          <cell r="BJ10">
            <v>1.0731703459505479</v>
          </cell>
          <cell r="BK10">
            <v>1</v>
          </cell>
          <cell r="BL10">
            <v>1.0199029664000001</v>
          </cell>
          <cell r="BM10">
            <v>1</v>
          </cell>
          <cell r="BN10">
            <v>1.0176064</v>
          </cell>
          <cell r="BO10">
            <v>1.0179172000000001</v>
          </cell>
          <cell r="BP10">
            <v>1.0167286000000002</v>
          </cell>
          <cell r="BQ10">
            <v>1.0734561680546746</v>
          </cell>
          <cell r="BR10">
            <v>1.0896137291337999</v>
          </cell>
          <cell r="BS10">
            <v>1.05821574661</v>
          </cell>
          <cell r="BT10">
            <v>1.0452472254890002</v>
          </cell>
          <cell r="BU10">
            <v>0</v>
          </cell>
          <cell r="BV10">
            <v>1</v>
          </cell>
          <cell r="BW10">
            <v>1.0062713942000001</v>
          </cell>
          <cell r="BX10">
            <v>1.0008693715445345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1.0407337192000001</v>
          </cell>
          <cell r="CD10">
            <v>0</v>
          </cell>
        </row>
        <row r="11">
          <cell r="B11">
            <v>1.0472289320525991</v>
          </cell>
          <cell r="C11">
            <v>1.1863778591563219</v>
          </cell>
          <cell r="D11">
            <v>1.0496510728391948</v>
          </cell>
          <cell r="E11">
            <v>1.1159408620279831</v>
          </cell>
          <cell r="F11">
            <v>1.1121260214732545</v>
          </cell>
          <cell r="G11">
            <v>1.1236975574274009</v>
          </cell>
          <cell r="H11">
            <v>1.4240088661804737</v>
          </cell>
          <cell r="I11">
            <v>1.3570753305552619</v>
          </cell>
          <cell r="J11">
            <v>1</v>
          </cell>
          <cell r="K11">
            <v>1.3570753305552619</v>
          </cell>
          <cell r="L11">
            <v>1.0025968156349836</v>
          </cell>
          <cell r="M11">
            <v>1</v>
          </cell>
          <cell r="N11">
            <v>1.0199005812118678</v>
          </cell>
          <cell r="O11">
            <v>1.2253355030019919</v>
          </cell>
          <cell r="P11">
            <v>1.0496510728391948</v>
          </cell>
          <cell r="Q11">
            <v>1.1236975574274004</v>
          </cell>
          <cell r="R11">
            <v>1</v>
          </cell>
          <cell r="S11">
            <v>1</v>
          </cell>
          <cell r="T11">
            <v>1.0023306526776483</v>
          </cell>
          <cell r="U11">
            <v>1.1863778591563219</v>
          </cell>
          <cell r="V11">
            <v>1.1504024929584529</v>
          </cell>
          <cell r="W11">
            <v>1.0837873508466194</v>
          </cell>
          <cell r="X11">
            <v>1.2590524597430763</v>
          </cell>
          <cell r="Y11">
            <v>1.2590524597430763</v>
          </cell>
          <cell r="Z11">
            <v>1</v>
          </cell>
          <cell r="AA11">
            <v>1</v>
          </cell>
          <cell r="AB11">
            <v>1</v>
          </cell>
          <cell r="AC11">
            <v>1.2039492455441865</v>
          </cell>
          <cell r="AD11">
            <v>1.0641297396805323</v>
          </cell>
          <cell r="AE11">
            <v>1</v>
          </cell>
          <cell r="AF11">
            <v>1</v>
          </cell>
          <cell r="AG11">
            <v>1.0025968156349836</v>
          </cell>
          <cell r="AH11">
            <v>1.1863778591563219</v>
          </cell>
          <cell r="AI11">
            <v>1</v>
          </cell>
          <cell r="AJ11">
            <v>1</v>
          </cell>
          <cell r="AK11">
            <v>1.0023306526776481</v>
          </cell>
          <cell r="AL11">
            <v>1.0093810470798976</v>
          </cell>
          <cell r="AM11">
            <v>1.0249728836958854</v>
          </cell>
          <cell r="AN11">
            <v>1.0108601638410164</v>
          </cell>
          <cell r="AO11">
            <v>1.0240642854420736</v>
          </cell>
          <cell r="AP11">
            <v>1.0240642854420736</v>
          </cell>
          <cell r="AQ11">
            <v>1.0240642854420736</v>
          </cell>
          <cell r="AR11">
            <v>1.0418212193325764</v>
          </cell>
          <cell r="AS11">
            <v>1.02072435780308</v>
          </cell>
          <cell r="AT11">
            <v>1.0249844198526827</v>
          </cell>
          <cell r="AU11">
            <v>1.0004645703170987</v>
          </cell>
          <cell r="AV11">
            <v>1.0003943814867751</v>
          </cell>
          <cell r="AW11">
            <v>1.0466771011360476</v>
          </cell>
          <cell r="AX11">
            <v>1.0720571217280925</v>
          </cell>
          <cell r="AY11">
            <v>1.0837873508466194</v>
          </cell>
          <cell r="AZ11">
            <v>1.1729896358293324</v>
          </cell>
          <cell r="BA11">
            <v>1.0001538230767248</v>
          </cell>
          <cell r="BB11">
            <v>1.0004964290203391</v>
          </cell>
          <cell r="BC11">
            <v>1.0357487724442203</v>
          </cell>
          <cell r="BD11">
            <v>1.0439411994626875</v>
          </cell>
          <cell r="BE11">
            <v>1.031921991528</v>
          </cell>
          <cell r="BF11">
            <v>1.0588234367142559</v>
          </cell>
          <cell r="BG11">
            <v>1.0777096937917596</v>
          </cell>
          <cell r="BH11">
            <v>1.0576736377018401</v>
          </cell>
          <cell r="BI11">
            <v>1.072375064484232</v>
          </cell>
          <cell r="BJ11">
            <v>1.0744349283403039</v>
          </cell>
          <cell r="BK11">
            <v>1</v>
          </cell>
          <cell r="BL11">
            <v>1.0204526078</v>
          </cell>
          <cell r="BM11">
            <v>1</v>
          </cell>
          <cell r="BN11">
            <v>1.0238292</v>
          </cell>
          <cell r="BO11">
            <v>1.0219062999999999</v>
          </cell>
          <cell r="BP11">
            <v>1.0124270999999998</v>
          </cell>
          <cell r="BQ11">
            <v>1.0602848783333638</v>
          </cell>
          <cell r="BR11">
            <v>1.0725620740879998</v>
          </cell>
          <cell r="BS11">
            <v>1.0549598261119999</v>
          </cell>
          <cell r="BT11">
            <v>1.0574815383339997</v>
          </cell>
          <cell r="BU11">
            <v>0</v>
          </cell>
          <cell r="BV11">
            <v>1</v>
          </cell>
          <cell r="BW11">
            <v>1.0229168600999998</v>
          </cell>
          <cell r="BX11">
            <v>1.0031933467264378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1.0430110218999999</v>
          </cell>
          <cell r="CD11">
            <v>1.0415433770461124</v>
          </cell>
        </row>
        <row r="12">
          <cell r="B12">
            <v>1.0270818078333039</v>
          </cell>
          <cell r="C12">
            <v>1.099778460920438</v>
          </cell>
          <cell r="D12">
            <v>1.0165507003689487</v>
          </cell>
          <cell r="E12">
            <v>1.0820046799527385</v>
          </cell>
          <cell r="F12">
            <v>1.0858354427270052</v>
          </cell>
          <cell r="G12">
            <v>1.0997059281003327</v>
          </cell>
          <cell r="H12">
            <v>1.3717106515892965</v>
          </cell>
          <cell r="I12">
            <v>1.314408123184144</v>
          </cell>
          <cell r="J12">
            <v>1</v>
          </cell>
          <cell r="K12">
            <v>1.314408123184144</v>
          </cell>
          <cell r="L12">
            <v>1.0002623983325662</v>
          </cell>
          <cell r="M12">
            <v>1</v>
          </cell>
          <cell r="N12">
            <v>1.0199005812118678</v>
          </cell>
          <cell r="O12">
            <v>1.0895279711312409</v>
          </cell>
          <cell r="P12">
            <v>1.0165507003689487</v>
          </cell>
          <cell r="Q12">
            <v>1.0999062551265018</v>
          </cell>
          <cell r="R12">
            <v>1</v>
          </cell>
          <cell r="S12">
            <v>1</v>
          </cell>
          <cell r="T12">
            <v>1.0001842128586667</v>
          </cell>
          <cell r="U12">
            <v>1.099778460920438</v>
          </cell>
          <cell r="V12">
            <v>1.1118806655669886</v>
          </cell>
          <cell r="W12">
            <v>1.0299316989289791</v>
          </cell>
          <cell r="X12">
            <v>1.1057803146327696</v>
          </cell>
          <cell r="Y12">
            <v>1.1057803146327696</v>
          </cell>
          <cell r="Z12">
            <v>1</v>
          </cell>
          <cell r="AA12">
            <v>1</v>
          </cell>
          <cell r="AB12">
            <v>1</v>
          </cell>
          <cell r="AC12">
            <v>1.0933073340361192</v>
          </cell>
          <cell r="AD12">
            <v>1.0229146315472382</v>
          </cell>
          <cell r="AE12">
            <v>1</v>
          </cell>
          <cell r="AF12">
            <v>1</v>
          </cell>
          <cell r="AG12">
            <v>1.0002623983325662</v>
          </cell>
          <cell r="AH12">
            <v>1.099778460920438</v>
          </cell>
          <cell r="AI12">
            <v>1</v>
          </cell>
          <cell r="AJ12">
            <v>1</v>
          </cell>
          <cell r="AK12">
            <v>1.0001842128586664</v>
          </cell>
          <cell r="AL12">
            <v>1.0093810470798976</v>
          </cell>
          <cell r="AM12">
            <v>1.0249728836958854</v>
          </cell>
          <cell r="AN12">
            <v>1.0108601638410164</v>
          </cell>
          <cell r="AO12">
            <v>1.0240642854420736</v>
          </cell>
          <cell r="AP12">
            <v>1.0240642854420736</v>
          </cell>
          <cell r="AQ12">
            <v>1.0240642854420736</v>
          </cell>
          <cell r="AR12">
            <v>1.0239809408363907</v>
          </cell>
          <cell r="AS12">
            <v>1.0069082623339993</v>
          </cell>
          <cell r="AT12">
            <v>1.008328312425655</v>
          </cell>
          <cell r="AU12">
            <v>1.0000469430616961</v>
          </cell>
          <cell r="AV12">
            <v>1.0000398507476351</v>
          </cell>
          <cell r="AW12">
            <v>1.0166785110863377</v>
          </cell>
          <cell r="AX12">
            <v>1.0257412610789221</v>
          </cell>
          <cell r="AY12">
            <v>1.0299316989289791</v>
          </cell>
          <cell r="AZ12">
            <v>1.0926109984113548</v>
          </cell>
          <cell r="BA12">
            <v>1.0000121580486721</v>
          </cell>
          <cell r="BB12">
            <v>1.000039237338896</v>
          </cell>
          <cell r="BC12">
            <v>1.0119165042656431</v>
          </cell>
          <cell r="BD12">
            <v>1.0146473698265197</v>
          </cell>
          <cell r="BE12">
            <v>1.0287788083680001</v>
          </cell>
          <cell r="BF12">
            <v>1.0542850650060798</v>
          </cell>
          <cell r="BG12">
            <v>1.0682427124895999</v>
          </cell>
          <cell r="BH12">
            <v>1.05021145786432</v>
          </cell>
          <cell r="BI12">
            <v>1.06282105792992</v>
          </cell>
          <cell r="BJ12">
            <v>1.06537372294976</v>
          </cell>
          <cell r="BK12">
            <v>1</v>
          </cell>
          <cell r="BL12">
            <v>1.0150390499999999</v>
          </cell>
          <cell r="BM12">
            <v>1</v>
          </cell>
          <cell r="BN12">
            <v>1.0221536</v>
          </cell>
          <cell r="BO12">
            <v>1.0209280999999999</v>
          </cell>
          <cell r="BP12">
            <v>1.0122206</v>
          </cell>
          <cell r="BQ12">
            <v>1.0509381505636861</v>
          </cell>
          <cell r="BR12">
            <v>1.064818163208</v>
          </cell>
          <cell r="BS12">
            <v>1.0532097243119998</v>
          </cell>
          <cell r="BT12">
            <v>1.0564004785599999</v>
          </cell>
          <cell r="BU12">
            <v>1.0481229780279999</v>
          </cell>
          <cell r="BV12">
            <v>1</v>
          </cell>
          <cell r="BW12">
            <v>1.0187222569999999</v>
          </cell>
          <cell r="BX12">
            <v>1.0026169638176714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1.0192533969519999</v>
          </cell>
          <cell r="CD12">
            <v>1.0333107887219199</v>
          </cell>
        </row>
        <row r="13">
          <cell r="B13">
            <v>1.0198332099397498</v>
          </cell>
          <cell r="C13">
            <v>1.1150720981105509</v>
          </cell>
          <cell r="D13">
            <v>1.014466053345692</v>
          </cell>
          <cell r="E13">
            <v>1.0829913058865184</v>
          </cell>
          <cell r="F13">
            <v>1.0969641511946169</v>
          </cell>
          <cell r="G13">
            <v>1.1125176607456755</v>
          </cell>
          <cell r="H13">
            <v>1.2887642178658369</v>
          </cell>
          <cell r="I13">
            <v>1.2716702295208828</v>
          </cell>
          <cell r="J13">
            <v>1</v>
          </cell>
          <cell r="K13">
            <v>1.2716702295208828</v>
          </cell>
          <cell r="L13">
            <v>0.99994421569841807</v>
          </cell>
          <cell r="M13">
            <v>1</v>
          </cell>
          <cell r="N13">
            <v>1.0199005812118678</v>
          </cell>
          <cell r="O13">
            <v>1.0716309130591681</v>
          </cell>
          <cell r="P13">
            <v>1.014466053345692</v>
          </cell>
          <cell r="Q13">
            <v>1.1136182517353836</v>
          </cell>
          <cell r="R13">
            <v>1</v>
          </cell>
          <cell r="S13">
            <v>1</v>
          </cell>
          <cell r="T13">
            <v>0.99993577940851697</v>
          </cell>
          <cell r="U13">
            <v>1.1150720981105509</v>
          </cell>
          <cell r="V13">
            <v>1.0537166128305879</v>
          </cell>
          <cell r="W13">
            <v>1.0167438729760749</v>
          </cell>
          <cell r="X13">
            <v>1.0862860030745956</v>
          </cell>
          <cell r="Y13">
            <v>1.0862860030745956</v>
          </cell>
          <cell r="Z13">
            <v>1</v>
          </cell>
          <cell r="AA13">
            <v>1</v>
          </cell>
          <cell r="AB13">
            <v>1</v>
          </cell>
          <cell r="AC13">
            <v>1.1115830477775921</v>
          </cell>
          <cell r="AD13">
            <v>1.0117299384961884</v>
          </cell>
          <cell r="AE13">
            <v>1</v>
          </cell>
          <cell r="AF13">
            <v>1</v>
          </cell>
          <cell r="AG13">
            <v>0.99994421569841807</v>
          </cell>
          <cell r="AH13">
            <v>1.1150720981105509</v>
          </cell>
          <cell r="AI13">
            <v>1</v>
          </cell>
          <cell r="AJ13">
            <v>1</v>
          </cell>
          <cell r="AK13">
            <v>0.99993577940851697</v>
          </cell>
          <cell r="AL13">
            <v>1.0093810470798976</v>
          </cell>
          <cell r="AM13">
            <v>1.0249728836958854</v>
          </cell>
          <cell r="AN13">
            <v>1.0108601638410164</v>
          </cell>
          <cell r="AO13">
            <v>1.0240642854420736</v>
          </cell>
          <cell r="AP13">
            <v>1.0240642854420736</v>
          </cell>
          <cell r="AQ13">
            <v>1.0240642854420736</v>
          </cell>
          <cell r="AR13">
            <v>1.0175623074016484</v>
          </cell>
          <cell r="AS13">
            <v>1.0060381306664918</v>
          </cell>
          <cell r="AT13">
            <v>1.0072793180435522</v>
          </cell>
          <cell r="AU13">
            <v>0.99999002018844707</v>
          </cell>
          <cell r="AV13">
            <v>0.99999152797160484</v>
          </cell>
          <cell r="AW13">
            <v>1.0085376851400571</v>
          </cell>
          <cell r="AX13">
            <v>1.0143997307594246</v>
          </cell>
          <cell r="AY13">
            <v>1.0167438729760749</v>
          </cell>
          <cell r="AZ13">
            <v>1.106806036062284</v>
          </cell>
          <cell r="BA13">
            <v>0.99999576144096214</v>
          </cell>
          <cell r="BB13">
            <v>0.99998632101401408</v>
          </cell>
          <cell r="BC13">
            <v>1.0104155584088983</v>
          </cell>
          <cell r="BD13">
            <v>1.0128024572109373</v>
          </cell>
          <cell r="BE13">
            <v>1.0235971414374401</v>
          </cell>
          <cell r="BF13">
            <v>1.043416787931648</v>
          </cell>
          <cell r="BG13">
            <v>1.048779686004224</v>
          </cell>
          <cell r="BH13">
            <v>1.0358970181964797</v>
          </cell>
          <cell r="BI13">
            <v>1.0497477207878654</v>
          </cell>
          <cell r="BJ13">
            <v>1.0508932053515265</v>
          </cell>
          <cell r="BK13">
            <v>1</v>
          </cell>
          <cell r="BL13">
            <v>1.0142959772800002</v>
          </cell>
          <cell r="BM13">
            <v>1</v>
          </cell>
          <cell r="BN13">
            <v>1.013519896</v>
          </cell>
          <cell r="BO13">
            <v>1.0127872959999999</v>
          </cell>
          <cell r="BP13">
            <v>1.0102437776000002</v>
          </cell>
          <cell r="BQ13">
            <v>1.0462514066700288</v>
          </cell>
          <cell r="BR13">
            <v>1.046319647190016</v>
          </cell>
          <cell r="BS13">
            <v>1.0422505096294397</v>
          </cell>
          <cell r="BT13">
            <v>1.0396584281649153</v>
          </cell>
          <cell r="BU13">
            <v>1.0324551977625598</v>
          </cell>
          <cell r="BV13">
            <v>1</v>
          </cell>
          <cell r="BW13">
            <v>1.013773</v>
          </cell>
          <cell r="BX13">
            <v>1.0019303396681809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1.0176905334400002</v>
          </cell>
          <cell r="CD13">
            <v>1.0230337151436801</v>
          </cell>
        </row>
        <row r="14">
          <cell r="B14">
            <v>1.0317531805947162</v>
          </cell>
          <cell r="C14">
            <v>1.1647735177352936</v>
          </cell>
          <cell r="D14">
            <v>1.0348885887232013</v>
          </cell>
          <cell r="E14">
            <v>1.1063109957492547</v>
          </cell>
          <cell r="F14">
            <v>1.1093822675645941</v>
          </cell>
          <cell r="G14">
            <v>1.148144924880669</v>
          </cell>
          <cell r="H14">
            <v>1.4067992937375937</v>
          </cell>
          <cell r="I14">
            <v>1.3755455175371751</v>
          </cell>
          <cell r="J14">
            <v>1</v>
          </cell>
          <cell r="K14">
            <v>1.3755455175371751</v>
          </cell>
          <cell r="L14">
            <v>1.0007772442471159</v>
          </cell>
          <cell r="M14">
            <v>1</v>
          </cell>
          <cell r="N14">
            <v>1.0199005812118678</v>
          </cell>
          <cell r="O14">
            <v>1.1049906911819101</v>
          </cell>
          <cell r="P14">
            <v>1.0348885887232013</v>
          </cell>
          <cell r="Q14">
            <v>1.1518592388771962</v>
          </cell>
          <cell r="R14">
            <v>1</v>
          </cell>
          <cell r="S14">
            <v>1</v>
          </cell>
          <cell r="T14">
            <v>1.0002784355040526</v>
          </cell>
          <cell r="U14">
            <v>1.1647735177352936</v>
          </cell>
          <cell r="V14">
            <v>1.0866038383558083</v>
          </cell>
          <cell r="W14">
            <v>1.0263085365194873</v>
          </cell>
          <cell r="X14">
            <v>1.1236946075638954</v>
          </cell>
          <cell r="Y14">
            <v>1.1236946075638954</v>
          </cell>
          <cell r="Z14">
            <v>1</v>
          </cell>
          <cell r="AA14">
            <v>1</v>
          </cell>
          <cell r="AB14">
            <v>1</v>
          </cell>
          <cell r="AC14">
            <v>1.1764998200351957</v>
          </cell>
          <cell r="AD14">
            <v>1.0185631152479102</v>
          </cell>
          <cell r="AE14">
            <v>1</v>
          </cell>
          <cell r="AF14">
            <v>1</v>
          </cell>
          <cell r="AG14">
            <v>0.99984297855870818</v>
          </cell>
          <cell r="AH14">
            <v>1.1647735177352936</v>
          </cell>
          <cell r="AI14">
            <v>1</v>
          </cell>
          <cell r="AJ14">
            <v>1</v>
          </cell>
          <cell r="AK14">
            <v>1.0002784355040524</v>
          </cell>
          <cell r="AL14">
            <v>1.0093810470798976</v>
          </cell>
          <cell r="AM14">
            <v>1.0249728836958854</v>
          </cell>
          <cell r="AN14">
            <v>1.0108601638410164</v>
          </cell>
          <cell r="AO14">
            <v>1.0240642854420736</v>
          </cell>
          <cell r="AP14">
            <v>1.0240642854420736</v>
          </cell>
          <cell r="AQ14">
            <v>1.0240642854420736</v>
          </cell>
          <cell r="AR14">
            <v>1.0281174414166212</v>
          </cell>
          <cell r="AS14">
            <v>1.0145624969330642</v>
          </cell>
          <cell r="AT14">
            <v>1.0175559378455148</v>
          </cell>
          <cell r="AU14">
            <v>1.0001390489958091</v>
          </cell>
          <cell r="AV14">
            <v>0.9999761529664879</v>
          </cell>
          <cell r="AW14">
            <v>1.013511241619617</v>
          </cell>
          <cell r="AX14">
            <v>1.022625341406759</v>
          </cell>
          <cell r="AY14">
            <v>1.0263085365194873</v>
          </cell>
          <cell r="AZ14">
            <v>1.1529372155918962</v>
          </cell>
          <cell r="BA14">
            <v>1.0000183767432675</v>
          </cell>
          <cell r="BB14">
            <v>1.0000593067623631</v>
          </cell>
          <cell r="BC14">
            <v>1.0251197838807049</v>
          </cell>
          <cell r="BD14">
            <v>1.0308764010200333</v>
          </cell>
          <cell r="BE14">
            <v>1.01698648584192</v>
          </cell>
          <cell r="BF14">
            <v>1.0372974710683238</v>
          </cell>
          <cell r="BG14">
            <v>1.0407441785828968</v>
          </cell>
          <cell r="BH14">
            <v>1.0287542437375998</v>
          </cell>
          <cell r="BI14">
            <v>1.0409587598731673</v>
          </cell>
          <cell r="BJ14">
            <v>1.0421885241591398</v>
          </cell>
          <cell r="BK14">
            <v>1</v>
          </cell>
          <cell r="BL14">
            <v>1.0121245519359998</v>
          </cell>
          <cell r="BM14">
            <v>1</v>
          </cell>
          <cell r="BN14">
            <v>1.0092932480000001</v>
          </cell>
          <cell r="BO14">
            <v>1.0089975680000001</v>
          </cell>
          <cell r="BP14">
            <v>1.0078692710400001</v>
          </cell>
          <cell r="BQ14">
            <v>1.039001396307067</v>
          </cell>
          <cell r="BR14">
            <v>1.034783768938496</v>
          </cell>
          <cell r="BS14">
            <v>1.0362899731005439</v>
          </cell>
          <cell r="BT14">
            <v>1.0310081020082584</v>
          </cell>
          <cell r="BU14">
            <v>1.0394462656349799</v>
          </cell>
          <cell r="BV14">
            <v>1</v>
          </cell>
          <cell r="BW14">
            <v>1.0084768000000002</v>
          </cell>
          <cell r="BX14">
            <v>1.0011765162234962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1.00664137728</v>
          </cell>
          <cell r="CD14">
            <v>1.0214524918490728</v>
          </cell>
        </row>
        <row r="15">
          <cell r="B15">
            <v>1.0339767072473425</v>
          </cell>
          <cell r="C15">
            <v>1.1374220057468711</v>
          </cell>
          <cell r="D15">
            <v>1.0243266903775798</v>
          </cell>
          <cell r="E15">
            <v>1.1171799913558755</v>
          </cell>
          <cell r="F15">
            <v>1.1322425551149604</v>
          </cell>
          <cell r="G15">
            <v>1.139704183985971</v>
          </cell>
          <cell r="H15">
            <v>1.3456801535149632</v>
          </cell>
          <cell r="I15">
            <v>1.3024161972848849</v>
          </cell>
          <cell r="J15">
            <v>1</v>
          </cell>
          <cell r="K15">
            <v>1.3024161972848849</v>
          </cell>
          <cell r="L15">
            <v>1.0011276270124931</v>
          </cell>
          <cell r="M15">
            <v>1</v>
          </cell>
          <cell r="N15">
            <v>1.0199005812118678</v>
          </cell>
          <cell r="O15">
            <v>1.1394278129539832</v>
          </cell>
          <cell r="P15">
            <v>1.0243266903775798</v>
          </cell>
          <cell r="Q15">
            <v>1.1391457806179559</v>
          </cell>
          <cell r="R15">
            <v>1</v>
          </cell>
          <cell r="S15">
            <v>1</v>
          </cell>
          <cell r="T15">
            <v>1.0013144017588944</v>
          </cell>
          <cell r="U15">
            <v>1.1374220057468711</v>
          </cell>
          <cell r="V15">
            <v>1.1084640608278156</v>
          </cell>
          <cell r="W15">
            <v>1.037429584092149</v>
          </cell>
          <cell r="X15">
            <v>1.161368192952148</v>
          </cell>
          <cell r="Y15">
            <v>1.161368192952148</v>
          </cell>
          <cell r="Z15">
            <v>1</v>
          </cell>
          <cell r="AA15">
            <v>1</v>
          </cell>
          <cell r="AB15">
            <v>1</v>
          </cell>
          <cell r="AC15">
            <v>1.1374220057468711</v>
          </cell>
          <cell r="AD15">
            <v>1.0267828334101181</v>
          </cell>
          <cell r="AE15">
            <v>1</v>
          </cell>
          <cell r="AF15">
            <v>1</v>
          </cell>
          <cell r="AG15">
            <v>1.0011276270124931</v>
          </cell>
          <cell r="AH15">
            <v>1.1374220057468711</v>
          </cell>
          <cell r="AI15">
            <v>1</v>
          </cell>
          <cell r="AJ15">
            <v>1</v>
          </cell>
          <cell r="AK15">
            <v>1.0013144017588944</v>
          </cell>
          <cell r="AL15">
            <v>1.0093810470798976</v>
          </cell>
          <cell r="AM15">
            <v>1.0249728836958854</v>
          </cell>
          <cell r="AN15">
            <v>1.0108601638410164</v>
          </cell>
          <cell r="AO15">
            <v>1.0240642854420736</v>
          </cell>
          <cell r="AP15">
            <v>1.0240642854420736</v>
          </cell>
          <cell r="AQ15">
            <v>1.0240642854420736</v>
          </cell>
          <cell r="AR15">
            <v>1.0300863742675217</v>
          </cell>
          <cell r="AS15">
            <v>1.0101539605636018</v>
          </cell>
          <cell r="AT15">
            <v>1.0122411905979982</v>
          </cell>
          <cell r="AU15">
            <v>1.0002017324725352</v>
          </cell>
          <cell r="AV15">
            <v>1.0001712540589034</v>
          </cell>
          <cell r="AW15">
            <v>1.0194939981048061</v>
          </cell>
          <cell r="AX15">
            <v>1.0321894423192481</v>
          </cell>
          <cell r="AY15">
            <v>1.037429584092149</v>
          </cell>
          <cell r="AZ15">
            <v>1.1275504656867461</v>
          </cell>
          <cell r="BA15">
            <v>1.0000867505160871</v>
          </cell>
          <cell r="BB15">
            <v>1.0002799675746445</v>
          </cell>
          <cell r="BC15">
            <v>1.0175152170718573</v>
          </cell>
          <cell r="BD15">
            <v>1.0215291209841582</v>
          </cell>
          <cell r="BE15">
            <v>1.01658764923008</v>
          </cell>
          <cell r="BF15">
            <v>1.0334271022370336</v>
          </cell>
          <cell r="BG15">
            <v>1.036162495861116</v>
          </cell>
          <cell r="BH15">
            <v>1.0263029250080002</v>
          </cell>
          <cell r="BI15">
            <v>1.0366002794217515</v>
          </cell>
          <cell r="BJ15">
            <v>1.0382898934094555</v>
          </cell>
          <cell r="BK15">
            <v>1</v>
          </cell>
          <cell r="BL15">
            <v>1.01498712528</v>
          </cell>
          <cell r="BM15">
            <v>1</v>
          </cell>
          <cell r="BN15">
            <v>1.0083218239999998</v>
          </cell>
          <cell r="BO15">
            <v>1.009420896</v>
          </cell>
          <cell r="BP15">
            <v>1.0070948981600001</v>
          </cell>
          <cell r="BQ15">
            <v>1.0269660027875671</v>
          </cell>
          <cell r="BR15">
            <v>1.0309816708399999</v>
          </cell>
          <cell r="BS15">
            <v>1.0217448558352</v>
          </cell>
          <cell r="BT15">
            <v>1.0212801513295762</v>
          </cell>
          <cell r="BU15">
            <v>1.037100259154232</v>
          </cell>
          <cell r="BV15">
            <v>1</v>
          </cell>
          <cell r="BW15">
            <v>1.0088620000000001</v>
          </cell>
          <cell r="BX15">
            <v>1.0012154128832564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1.0057847519999998</v>
          </cell>
          <cell r="CD15">
            <v>1.0194211299263518</v>
          </cell>
        </row>
        <row r="16">
          <cell r="B16">
            <v>1.0425895094590383</v>
          </cell>
          <cell r="C16">
            <v>1.1649239844989128</v>
          </cell>
          <cell r="D16">
            <v>1.0331955495245184</v>
          </cell>
          <cell r="E16">
            <v>1.1473037425723447</v>
          </cell>
          <cell r="F16">
            <v>1.1853629456115273</v>
          </cell>
          <cell r="G16">
            <v>1.1569529492144404</v>
          </cell>
          <cell r="H16">
            <v>1.3959226494547583</v>
          </cell>
          <cell r="I16">
            <v>1.3145198668472391</v>
          </cell>
          <cell r="J16">
            <v>1</v>
          </cell>
          <cell r="K16">
            <v>1.3145198668472391</v>
          </cell>
          <cell r="L16">
            <v>1.0009548129487142</v>
          </cell>
          <cell r="M16">
            <v>1</v>
          </cell>
          <cell r="N16">
            <v>1.0199005812118678</v>
          </cell>
          <cell r="O16">
            <v>1.1626465014956531</v>
          </cell>
          <cell r="P16">
            <v>1.0331955495245184</v>
          </cell>
          <cell r="Q16">
            <v>1.1880029738803266</v>
          </cell>
          <cell r="R16">
            <v>1</v>
          </cell>
          <cell r="S16">
            <v>1</v>
          </cell>
          <cell r="T16">
            <v>1.0007111719017017</v>
          </cell>
          <cell r="U16">
            <v>1.1649239844989128</v>
          </cell>
          <cell r="V16">
            <v>1.1225394170610752</v>
          </cell>
          <cell r="W16">
            <v>1.0462551378691431</v>
          </cell>
          <cell r="X16">
            <v>1.1859760892982258</v>
          </cell>
          <cell r="Y16">
            <v>1.1859760892982258</v>
          </cell>
          <cell r="Z16">
            <v>1</v>
          </cell>
          <cell r="AA16">
            <v>1</v>
          </cell>
          <cell r="AB16">
            <v>1</v>
          </cell>
          <cell r="AC16">
            <v>1.1649239844989128</v>
          </cell>
          <cell r="AD16">
            <v>1.0333299055056</v>
          </cell>
          <cell r="AE16">
            <v>1</v>
          </cell>
          <cell r="AF16">
            <v>1</v>
          </cell>
          <cell r="AG16">
            <v>1.0009548129487142</v>
          </cell>
          <cell r="AH16">
            <v>1.1649239844989128</v>
          </cell>
          <cell r="AI16">
            <v>1</v>
          </cell>
          <cell r="AJ16">
            <v>1</v>
          </cell>
          <cell r="AK16">
            <v>1.0007111719017017</v>
          </cell>
          <cell r="AL16">
            <v>1.0093810470798976</v>
          </cell>
          <cell r="AM16">
            <v>1.0249728836958854</v>
          </cell>
          <cell r="AN16">
            <v>1.0108601638410164</v>
          </cell>
          <cell r="AO16">
            <v>1.0240642854420736</v>
          </cell>
          <cell r="AP16">
            <v>1.0240642854420736</v>
          </cell>
          <cell r="AQ16">
            <v>1.0240642854420736</v>
          </cell>
          <cell r="AR16">
            <v>1.0377130106259784</v>
          </cell>
          <cell r="AS16">
            <v>1.0138558223715342</v>
          </cell>
          <cell r="AT16">
            <v>1.0167040005207375</v>
          </cell>
          <cell r="AU16">
            <v>1.000170816036525</v>
          </cell>
          <cell r="AV16">
            <v>1.000145008580984</v>
          </cell>
          <cell r="AW16">
            <v>1.0242593121052708</v>
          </cell>
          <cell r="AX16">
            <v>1.0397794185674631</v>
          </cell>
          <cell r="AY16">
            <v>1.0462551378691431</v>
          </cell>
          <cell r="AZ16">
            <v>1.1530768737613843</v>
          </cell>
          <cell r="BA16">
            <v>1.0000469373455123</v>
          </cell>
          <cell r="BB16">
            <v>1.0001514796150626</v>
          </cell>
          <cell r="BC16">
            <v>1.0239007956576534</v>
          </cell>
          <cell r="BD16">
            <v>1.029378061329199</v>
          </cell>
          <cell r="BE16">
            <v>1.0151648511946239</v>
          </cell>
          <cell r="BF16">
            <v>1.0319165090147013</v>
          </cell>
          <cell r="BG16">
            <v>1.0342264940157457</v>
          </cell>
          <cell r="BH16">
            <v>1.0227800164375997</v>
          </cell>
          <cell r="BI16">
            <v>1.0347649064259161</v>
          </cell>
          <cell r="BJ16">
            <v>1.0322644755567023</v>
          </cell>
          <cell r="BK16">
            <v>1</v>
          </cell>
          <cell r="BL16">
            <v>1.0151800600159999</v>
          </cell>
          <cell r="BM16">
            <v>1</v>
          </cell>
          <cell r="BN16">
            <v>1.0074777699999999</v>
          </cell>
          <cell r="BO16">
            <v>1.0093614259999999</v>
          </cell>
          <cell r="BP16">
            <v>1.0053276</v>
          </cell>
          <cell r="BQ16">
            <v>1.0320486747327378</v>
          </cell>
          <cell r="BR16">
            <v>1.0297272143999998</v>
          </cell>
          <cell r="BS16">
            <v>1.032643862684</v>
          </cell>
          <cell r="BT16">
            <v>1.0292818841359999</v>
          </cell>
          <cell r="BU16">
            <v>1.0345805681218527</v>
          </cell>
          <cell r="BV16">
            <v>1</v>
          </cell>
          <cell r="BW16">
            <v>1.0084967999999999</v>
          </cell>
          <cell r="BX16">
            <v>1.001159685293354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1.0061486210000001</v>
          </cell>
          <cell r="CD16">
            <v>1.0183396059679006</v>
          </cell>
        </row>
        <row r="17">
          <cell r="B17">
            <v>1.0621650191443173</v>
          </cell>
          <cell r="C17">
            <v>1.0883001763219489</v>
          </cell>
          <cell r="D17">
            <v>1.0397873590339546</v>
          </cell>
          <cell r="E17">
            <v>1.1804512786550843</v>
          </cell>
          <cell r="F17">
            <v>1.2015637683916176</v>
          </cell>
          <cell r="G17">
            <v>1.1765801537024139</v>
          </cell>
          <cell r="H17">
            <v>1.3111288009171551</v>
          </cell>
          <cell r="I17">
            <v>1.2221556208076929</v>
          </cell>
          <cell r="J17">
            <v>1</v>
          </cell>
          <cell r="K17">
            <v>1.2221556208076929</v>
          </cell>
          <cell r="L17">
            <v>1.0015014009068752</v>
          </cell>
          <cell r="M17">
            <v>1</v>
          </cell>
          <cell r="N17">
            <v>1.0199005812118678</v>
          </cell>
          <cell r="O17">
            <v>1.1676458457562893</v>
          </cell>
          <cell r="P17">
            <v>1.0397873590339546</v>
          </cell>
          <cell r="Q17">
            <v>1.2120121737296328</v>
          </cell>
          <cell r="R17">
            <v>1</v>
          </cell>
          <cell r="S17">
            <v>1</v>
          </cell>
          <cell r="T17">
            <v>1.0014407045138582</v>
          </cell>
          <cell r="U17">
            <v>1.0883001763219489</v>
          </cell>
          <cell r="V17">
            <v>1.1335040171605884</v>
          </cell>
          <cell r="W17">
            <v>1.0517349190162038</v>
          </cell>
          <cell r="X17">
            <v>1.1904861925828376</v>
          </cell>
          <cell r="Y17">
            <v>1.1904861925828376</v>
          </cell>
          <cell r="Z17">
            <v>1</v>
          </cell>
          <cell r="AA17">
            <v>1</v>
          </cell>
          <cell r="AB17">
            <v>1</v>
          </cell>
          <cell r="AC17">
            <v>1.0852171911423216</v>
          </cell>
          <cell r="AD17">
            <v>1.0376727753080448</v>
          </cell>
          <cell r="AE17">
            <v>1</v>
          </cell>
          <cell r="AF17">
            <v>1</v>
          </cell>
          <cell r="AG17">
            <v>1.0015014009068752</v>
          </cell>
          <cell r="AH17">
            <v>1.0883001763219489</v>
          </cell>
          <cell r="AI17">
            <v>1</v>
          </cell>
          <cell r="AJ17">
            <v>1</v>
          </cell>
          <cell r="AK17">
            <v>1.0014407045138585</v>
          </cell>
          <cell r="AL17">
            <v>1.0093810470798976</v>
          </cell>
          <cell r="AM17">
            <v>1.0249728836958854</v>
          </cell>
          <cell r="AN17">
            <v>1.0108601638410164</v>
          </cell>
          <cell r="AO17">
            <v>1.0240642854420736</v>
          </cell>
          <cell r="AP17">
            <v>1.0240642854420736</v>
          </cell>
          <cell r="AQ17">
            <v>1.0240642854420736</v>
          </cell>
          <cell r="AR17">
            <v>1.055047124452293</v>
          </cell>
          <cell r="AS17">
            <v>1.0166072436607727</v>
          </cell>
          <cell r="AT17">
            <v>1.0200209990658859</v>
          </cell>
          <cell r="AU17">
            <v>1.0002686006222401</v>
          </cell>
          <cell r="AV17">
            <v>1.0002280195459092</v>
          </cell>
          <cell r="AW17">
            <v>1.0274202881828167</v>
          </cell>
          <cell r="AX17">
            <v>1.0444920303539353</v>
          </cell>
          <cell r="AY17">
            <v>1.0517349190162038</v>
          </cell>
          <cell r="AZ17">
            <v>1.0819572422107717</v>
          </cell>
          <cell r="BA17">
            <v>1.0000950864979148</v>
          </cell>
          <cell r="BB17">
            <v>1.0003068700614519</v>
          </cell>
          <cell r="BC17">
            <v>1.0286468985044475</v>
          </cell>
          <cell r="BD17">
            <v>1.0352118127450498</v>
          </cell>
          <cell r="BE17">
            <v>1.0156702938441597</v>
          </cell>
          <cell r="BF17">
            <v>1.0292182795421929</v>
          </cell>
          <cell r="BG17">
            <v>1.0328353915905983</v>
          </cell>
          <cell r="BH17">
            <v>1.0232204544896</v>
          </cell>
          <cell r="BI17">
            <v>1.032689582592347</v>
          </cell>
          <cell r="BJ17">
            <v>1.0327723715849344</v>
          </cell>
          <cell r="BK17">
            <v>1</v>
          </cell>
          <cell r="BL17">
            <v>1.0108777324959999</v>
          </cell>
          <cell r="BM17">
            <v>1</v>
          </cell>
          <cell r="BN17">
            <v>1.01082004</v>
          </cell>
          <cell r="BO17">
            <v>1.0091626039999999</v>
          </cell>
          <cell r="BP17">
            <v>1.0051808311720001</v>
          </cell>
          <cell r="BQ17">
            <v>1.0340176879064613</v>
          </cell>
          <cell r="BR17">
            <v>1.0295764290682496</v>
          </cell>
          <cell r="BS17">
            <v>1.02086025711424</v>
          </cell>
          <cell r="BT17">
            <v>1.0278145074913985</v>
          </cell>
          <cell r="BU17">
            <v>1.0316426884195968</v>
          </cell>
          <cell r="BV17">
            <v>1</v>
          </cell>
          <cell r="BW17">
            <v>1.0059099999999999</v>
          </cell>
          <cell r="BX17">
            <v>1.0008025455031122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1.022876588608</v>
          </cell>
          <cell r="CD17">
            <v>1.0175575364014846</v>
          </cell>
        </row>
        <row r="18">
          <cell r="B18">
            <v>1.0619125167488574</v>
          </cell>
          <cell r="C18">
            <v>1.1360759822348252</v>
          </cell>
          <cell r="D18">
            <v>1.0610589773052816</v>
          </cell>
          <cell r="E18">
            <v>1.1779501189992514</v>
          </cell>
          <cell r="F18">
            <v>1.1839936786433647</v>
          </cell>
          <cell r="G18">
            <v>1.1510052053462194</v>
          </cell>
          <cell r="H18">
            <v>1.3288072567963902</v>
          </cell>
          <cell r="I18">
            <v>1.2081013964986951</v>
          </cell>
          <cell r="J18">
            <v>1</v>
          </cell>
          <cell r="K18">
            <v>1.2081013964986951</v>
          </cell>
          <cell r="L18">
            <v>1.0038951812707644</v>
          </cell>
          <cell r="M18">
            <v>1</v>
          </cell>
          <cell r="N18">
            <v>1.0199005812118678</v>
          </cell>
          <cell r="O18">
            <v>1.1455695192666533</v>
          </cell>
          <cell r="P18">
            <v>1.0610589773052816</v>
          </cell>
          <cell r="Q18">
            <v>1.2099886238469755</v>
          </cell>
          <cell r="R18">
            <v>1</v>
          </cell>
          <cell r="S18">
            <v>1</v>
          </cell>
          <cell r="T18">
            <v>1.0027453030392202</v>
          </cell>
          <cell r="U18">
            <v>1.1360759822348252</v>
          </cell>
          <cell r="V18">
            <v>1.1297337112554933</v>
          </cell>
          <cell r="W18">
            <v>1.0489922213610763</v>
          </cell>
          <cell r="X18">
            <v>1.1650862147354677</v>
          </cell>
          <cell r="Y18">
            <v>1.1650862147354677</v>
          </cell>
          <cell r="Z18">
            <v>1</v>
          </cell>
          <cell r="AA18">
            <v>1</v>
          </cell>
          <cell r="AB18">
            <v>1</v>
          </cell>
          <cell r="AC18">
            <v>1.1360759822348252</v>
          </cell>
          <cell r="AD18">
            <v>1.0364589769114645</v>
          </cell>
          <cell r="AE18">
            <v>1</v>
          </cell>
          <cell r="AF18">
            <v>1</v>
          </cell>
          <cell r="AG18">
            <v>1.0038951812707644</v>
          </cell>
          <cell r="AH18">
            <v>1.1360759822348252</v>
          </cell>
          <cell r="AI18">
            <v>1</v>
          </cell>
          <cell r="AJ18">
            <v>1</v>
          </cell>
          <cell r="AK18">
            <v>1.0027453030392202</v>
          </cell>
          <cell r="AL18">
            <v>1.0093810470798976</v>
          </cell>
          <cell r="AM18">
            <v>1.0249728836958854</v>
          </cell>
          <cell r="AN18">
            <v>1.0108601638410164</v>
          </cell>
          <cell r="AO18">
            <v>1.0240642854420736</v>
          </cell>
          <cell r="AP18">
            <v>1.0240642854420736</v>
          </cell>
          <cell r="AQ18">
            <v>1.0240642854420736</v>
          </cell>
          <cell r="AR18">
            <v>1.0548235335811131</v>
          </cell>
          <cell r="AS18">
            <v>1.0254860171272246</v>
          </cell>
          <cell r="AT18">
            <v>1.0307248773800177</v>
          </cell>
          <cell r="AU18">
            <v>1.0006968479293399</v>
          </cell>
          <cell r="AV18">
            <v>1.0005915658239759</v>
          </cell>
          <cell r="AW18">
            <v>1.0265368199074394</v>
          </cell>
          <cell r="AX18">
            <v>1.0421333103705255</v>
          </cell>
          <cell r="AY18">
            <v>1.0489922213610763</v>
          </cell>
          <cell r="AZ18">
            <v>1.126301132111285</v>
          </cell>
          <cell r="BA18">
            <v>1.0001811900005886</v>
          </cell>
          <cell r="BB18">
            <v>1.0005847495473539</v>
          </cell>
          <cell r="BC18">
            <v>1.0439624636598028</v>
          </cell>
          <cell r="BD18">
            <v>1.0540371949151743</v>
          </cell>
          <cell r="BE18">
            <v>1.0134641296271363</v>
          </cell>
          <cell r="BF18">
            <v>1.0229589423369847</v>
          </cell>
          <cell r="BG18">
            <v>1.0209663255582719</v>
          </cell>
          <cell r="BH18">
            <v>1.0173555694912</v>
          </cell>
          <cell r="BI18">
            <v>1.0261493601489209</v>
          </cell>
          <cell r="BJ18">
            <v>1.0219778301972746</v>
          </cell>
          <cell r="BK18">
            <v>1</v>
          </cell>
          <cell r="BL18">
            <v>1.0118940473599998</v>
          </cell>
          <cell r="BM18">
            <v>1</v>
          </cell>
          <cell r="BN18">
            <v>1.0085832730000002</v>
          </cell>
          <cell r="BO18">
            <v>1.0091350959999998</v>
          </cell>
          <cell r="BP18">
            <v>1.0042500711279998</v>
          </cell>
          <cell r="BQ18">
            <v>1.026475482144344</v>
          </cell>
          <cell r="BR18">
            <v>1.030869567992768</v>
          </cell>
          <cell r="BS18">
            <v>1.027287000184</v>
          </cell>
          <cell r="BT18">
            <v>1.0230480378082107</v>
          </cell>
          <cell r="BU18">
            <v>1.0291472330881333</v>
          </cell>
          <cell r="BV18">
            <v>1</v>
          </cell>
          <cell r="BW18">
            <v>1.007371024</v>
          </cell>
          <cell r="BX18">
            <v>1.000404662494683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1.0180170197856</v>
          </cell>
          <cell r="CD18">
            <v>1.00966940891168</v>
          </cell>
        </row>
        <row r="19">
          <cell r="B19">
            <v>1.047350014228098</v>
          </cell>
          <cell r="C19">
            <v>1.0879252760028986</v>
          </cell>
          <cell r="D19">
            <v>1.0428287796366988</v>
          </cell>
          <cell r="E19">
            <v>1.1750542385913501</v>
          </cell>
          <cell r="F19">
            <v>1.1834713505654217</v>
          </cell>
          <cell r="G19">
            <v>1.1070109979606138</v>
          </cell>
          <cell r="H19">
            <v>1.2574720725184709</v>
          </cell>
          <cell r="I19">
            <v>1.138210240064411</v>
          </cell>
          <cell r="J19">
            <v>1</v>
          </cell>
          <cell r="K19">
            <v>1.138210240064411</v>
          </cell>
          <cell r="L19">
            <v>1</v>
          </cell>
          <cell r="M19">
            <v>1</v>
          </cell>
          <cell r="N19">
            <v>1.0199005812118678</v>
          </cell>
          <cell r="O19">
            <v>1.1025634092105587</v>
          </cell>
          <cell r="P19">
            <v>1.0428287796366988</v>
          </cell>
          <cell r="Q19">
            <v>1.1965635885496484</v>
          </cell>
          <cell r="R19">
            <v>1</v>
          </cell>
          <cell r="S19">
            <v>1</v>
          </cell>
          <cell r="T19">
            <v>1</v>
          </cell>
          <cell r="U19">
            <v>1.0879252760028986</v>
          </cell>
          <cell r="V19">
            <v>1.118559703352771</v>
          </cell>
          <cell r="W19">
            <v>1.0351833068098113</v>
          </cell>
          <cell r="X19">
            <v>1.1163086377407809</v>
          </cell>
          <cell r="Y19">
            <v>1.1163086377407809</v>
          </cell>
          <cell r="Z19">
            <v>1</v>
          </cell>
          <cell r="AA19">
            <v>1</v>
          </cell>
          <cell r="AB19">
            <v>1</v>
          </cell>
          <cell r="AC19">
            <v>1.0879252760028986</v>
          </cell>
          <cell r="AD19">
            <v>1.0263941320723637</v>
          </cell>
          <cell r="AE19">
            <v>1</v>
          </cell>
          <cell r="AF19">
            <v>1</v>
          </cell>
          <cell r="AG19">
            <v>1</v>
          </cell>
          <cell r="AH19">
            <v>1.0879252760028986</v>
          </cell>
          <cell r="AI19">
            <v>1</v>
          </cell>
          <cell r="AJ19">
            <v>1</v>
          </cell>
          <cell r="AK19">
            <v>1</v>
          </cell>
          <cell r="AL19">
            <v>1.0093810470798976</v>
          </cell>
          <cell r="AM19">
            <v>1.0249728836958854</v>
          </cell>
          <cell r="AN19">
            <v>1.0108601638410164</v>
          </cell>
          <cell r="AO19">
            <v>1.0240642854420736</v>
          </cell>
          <cell r="AP19">
            <v>1.0240642854420736</v>
          </cell>
          <cell r="AQ19">
            <v>1.0240642854420736</v>
          </cell>
          <cell r="AR19">
            <v>1.0419284375989808</v>
          </cell>
          <cell r="AS19">
            <v>1.0178767326203582</v>
          </cell>
          <cell r="AT19">
            <v>1.0215514419131868</v>
          </cell>
          <cell r="AU19">
            <v>1</v>
          </cell>
          <cell r="AV19">
            <v>1</v>
          </cell>
          <cell r="AW19">
            <v>1.0192110801989411</v>
          </cell>
          <cell r="AX19">
            <v>1.0302576438564377</v>
          </cell>
          <cell r="AY19">
            <v>1.0351833068098113</v>
          </cell>
          <cell r="AZ19">
            <v>1.0816092723931205</v>
          </cell>
          <cell r="BA19">
            <v>1</v>
          </cell>
          <cell r="BB19">
            <v>1</v>
          </cell>
          <cell r="BC19">
            <v>1.0308367213384231</v>
          </cell>
          <cell r="BD19">
            <v>1.0379034699784784</v>
          </cell>
          <cell r="BE19">
            <v>1.0068894439351808</v>
          </cell>
          <cell r="BF19">
            <v>1.015956841451104</v>
          </cell>
          <cell r="BG19">
            <v>1.0135753886513921</v>
          </cell>
          <cell r="BH19">
            <v>1.0130121448511999</v>
          </cell>
          <cell r="BI19">
            <v>1.0166215628441424</v>
          </cell>
          <cell r="BJ19">
            <v>1.0156916100754818</v>
          </cell>
          <cell r="BK19">
            <v>1</v>
          </cell>
          <cell r="BL19">
            <v>1.0055795846495998</v>
          </cell>
          <cell r="BM19">
            <v>1</v>
          </cell>
          <cell r="BN19">
            <v>1.0050397575999999</v>
          </cell>
          <cell r="BO19">
            <v>1.0042817728</v>
          </cell>
          <cell r="BP19">
            <v>1.0020479202656001</v>
          </cell>
          <cell r="BQ19">
            <v>1.0171228176148643</v>
          </cell>
          <cell r="BR19">
            <v>1.0248432044567679</v>
          </cell>
          <cell r="BS19">
            <v>1.0198358615267837</v>
          </cell>
          <cell r="BT19">
            <v>1.0140567009689598</v>
          </cell>
          <cell r="BU19">
            <v>1.0213872858040771</v>
          </cell>
          <cell r="BV19">
            <v>1</v>
          </cell>
          <cell r="BW19">
            <v>1.0028195208000001</v>
          </cell>
          <cell r="BX19">
            <v>1.0001532947883203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1.0106080063456</v>
          </cell>
          <cell r="CD19">
            <v>1.0130974060399998</v>
          </cell>
        </row>
        <row r="20">
          <cell r="B20">
            <v>1.0246666460318159</v>
          </cell>
          <cell r="C20">
            <v>1.0671972238206358</v>
          </cell>
          <cell r="D20">
            <v>1.0245133004667193</v>
          </cell>
          <cell r="E20">
            <v>1.1167471106323581</v>
          </cell>
          <cell r="F20">
            <v>1.1241734746550709</v>
          </cell>
          <cell r="G20">
            <v>1.0732877233404734</v>
          </cell>
          <cell r="H20">
            <v>1.1540451101339029</v>
          </cell>
          <cell r="I20">
            <v>1.0905447438067877</v>
          </cell>
          <cell r="J20">
            <v>1</v>
          </cell>
          <cell r="K20">
            <v>1.0905447438067877</v>
          </cell>
          <cell r="L20">
            <v>1</v>
          </cell>
          <cell r="M20">
            <v>1</v>
          </cell>
          <cell r="N20">
            <v>1.0199005812118678</v>
          </cell>
          <cell r="O20">
            <v>1.0720411611842826</v>
          </cell>
          <cell r="P20">
            <v>1.0245133004667193</v>
          </cell>
          <cell r="Q20">
            <v>1.152968585592631</v>
          </cell>
          <cell r="R20">
            <v>1</v>
          </cell>
          <cell r="S20">
            <v>1</v>
          </cell>
          <cell r="T20">
            <v>1</v>
          </cell>
          <cell r="U20">
            <v>1.0671972238206358</v>
          </cell>
          <cell r="V20">
            <v>1.0702907523929235</v>
          </cell>
          <cell r="W20">
            <v>1.0237172041359774</v>
          </cell>
          <cell r="X20">
            <v>1.0819539215508205</v>
          </cell>
          <cell r="Y20">
            <v>1.0819539215508205</v>
          </cell>
          <cell r="Z20">
            <v>1</v>
          </cell>
          <cell r="AA20">
            <v>1</v>
          </cell>
          <cell r="AB20">
            <v>1</v>
          </cell>
          <cell r="AC20">
            <v>1.0671972238206358</v>
          </cell>
          <cell r="AD20">
            <v>1.0176318821295762</v>
          </cell>
          <cell r="AE20">
            <v>1</v>
          </cell>
          <cell r="AF20">
            <v>1</v>
          </cell>
          <cell r="AG20">
            <v>1</v>
          </cell>
          <cell r="AH20">
            <v>1.0671972238206358</v>
          </cell>
          <cell r="AI20">
            <v>1</v>
          </cell>
          <cell r="AJ20">
            <v>1</v>
          </cell>
          <cell r="AK20">
            <v>1</v>
          </cell>
          <cell r="AL20">
            <v>1.0093810470798976</v>
          </cell>
          <cell r="AM20">
            <v>1.0249728836958854</v>
          </cell>
          <cell r="AN20">
            <v>1.0108601638410164</v>
          </cell>
          <cell r="AO20">
            <v>1.0240642854420736</v>
          </cell>
          <cell r="AP20">
            <v>1.0240642854420736</v>
          </cell>
          <cell r="AQ20">
            <v>1.0240642854420736</v>
          </cell>
          <cell r="AR20">
            <v>1.0220445815586339</v>
          </cell>
          <cell r="AS20">
            <v>1.0111805163428706</v>
          </cell>
          <cell r="AT20">
            <v>1.0128817393952609</v>
          </cell>
          <cell r="AU20">
            <v>1</v>
          </cell>
          <cell r="AV20">
            <v>1</v>
          </cell>
          <cell r="AW20">
            <v>1.0128334396721548</v>
          </cell>
          <cell r="AX20">
            <v>1.0203967955569406</v>
          </cell>
          <cell r="AY20">
            <v>1.0237172041359774</v>
          </cell>
          <cell r="AZ20">
            <v>1.0623701942392421</v>
          </cell>
          <cell r="BA20">
            <v>1</v>
          </cell>
          <cell r="BB20">
            <v>1</v>
          </cell>
          <cell r="BC20">
            <v>1.017649576336038</v>
          </cell>
          <cell r="BD20">
            <v>1.0216942709130465</v>
          </cell>
          <cell r="BE20">
            <v>1.007951618672333</v>
          </cell>
          <cell r="BF20">
            <v>1.0184743214165604</v>
          </cell>
          <cell r="BG20">
            <v>1.018490222376448</v>
          </cell>
          <cell r="BH20">
            <v>1.0175449326540802</v>
          </cell>
          <cell r="BI20">
            <v>1.0208513260640666</v>
          </cell>
          <cell r="BJ20">
            <v>1.0182640716375959</v>
          </cell>
          <cell r="BK20">
            <v>1</v>
          </cell>
          <cell r="BL20">
            <v>1.007076256448</v>
          </cell>
          <cell r="BM20">
            <v>1</v>
          </cell>
          <cell r="BN20">
            <v>1.0059956096000002</v>
          </cell>
          <cell r="BO20">
            <v>1.0052628768</v>
          </cell>
          <cell r="BP20">
            <v>1.0025930884544001</v>
          </cell>
          <cell r="BQ20">
            <v>1.0213388328595252</v>
          </cell>
          <cell r="BR20">
            <v>1.0306367947985919</v>
          </cell>
          <cell r="BS20">
            <v>1.0250966645288959</v>
          </cell>
          <cell r="BT20">
            <v>1.0218808311566849</v>
          </cell>
          <cell r="BU20">
            <v>1.0260340224024782</v>
          </cell>
          <cell r="BV20">
            <v>1</v>
          </cell>
          <cell r="BW20">
            <v>1.0031016735999998</v>
          </cell>
          <cell r="BX20">
            <v>1.0001652978599063</v>
          </cell>
          <cell r="BY20">
            <v>1.0040784255999999</v>
          </cell>
          <cell r="BZ20">
            <v>1.0002173520203632</v>
          </cell>
          <cell r="CA20">
            <v>1.0038616000000002</v>
          </cell>
          <cell r="CB20">
            <v>1.0002057967078852</v>
          </cell>
          <cell r="CC20">
            <v>1.0133369457663999</v>
          </cell>
          <cell r="CD20">
            <v>1.028890511982592</v>
          </cell>
        </row>
        <row r="21">
          <cell r="B21">
            <v>1.0206918658114403</v>
          </cell>
          <cell r="C21">
            <v>1.0535500333153673</v>
          </cell>
          <cell r="D21">
            <v>1.0188286941559708</v>
          </cell>
          <cell r="E21">
            <v>1.0898690776511355</v>
          </cell>
          <cell r="F21">
            <v>1.0906891672306163</v>
          </cell>
          <cell r="G21">
            <v>1.0618089682735039</v>
          </cell>
          <cell r="H21">
            <v>1.0838112022874407</v>
          </cell>
          <cell r="I21">
            <v>1.0678169555232782</v>
          </cell>
          <cell r="J21">
            <v>1</v>
          </cell>
          <cell r="K21">
            <v>1.0678169555232782</v>
          </cell>
          <cell r="L21">
            <v>1.0029657536193461</v>
          </cell>
          <cell r="M21">
            <v>1</v>
          </cell>
          <cell r="N21">
            <v>1.0199005812118678</v>
          </cell>
          <cell r="O21">
            <v>1.0589847336565381</v>
          </cell>
          <cell r="P21">
            <v>1.0179524040073165</v>
          </cell>
          <cell r="Q21">
            <v>1.0986656231358425</v>
          </cell>
          <cell r="R21">
            <v>1</v>
          </cell>
          <cell r="S21">
            <v>1</v>
          </cell>
          <cell r="T21">
            <v>1.0039639706647576</v>
          </cell>
          <cell r="U21">
            <v>1.0535500333153673</v>
          </cell>
          <cell r="V21">
            <v>1.0365402520667195</v>
          </cell>
          <cell r="W21">
            <v>1.0189941616077398</v>
          </cell>
          <cell r="X21">
            <v>1.0675668480259655</v>
          </cell>
          <cell r="Y21">
            <v>1.0675668480259655</v>
          </cell>
          <cell r="Z21">
            <v>1</v>
          </cell>
          <cell r="AA21">
            <v>1</v>
          </cell>
          <cell r="AB21">
            <v>1</v>
          </cell>
          <cell r="AC21">
            <v>1.0435722086389885</v>
          </cell>
          <cell r="AD21">
            <v>1.0139960764799216</v>
          </cell>
          <cell r="AE21">
            <v>1</v>
          </cell>
          <cell r="AF21">
            <v>1</v>
          </cell>
          <cell r="AG21">
            <v>1.0068734007838531</v>
          </cell>
          <cell r="AH21">
            <v>1.0535500333153673</v>
          </cell>
          <cell r="AI21">
            <v>1</v>
          </cell>
          <cell r="AJ21">
            <v>1</v>
          </cell>
          <cell r="AK21">
            <v>1.0090551204837437</v>
          </cell>
          <cell r="AL21">
            <v>1.0093810470798976</v>
          </cell>
          <cell r="AM21">
            <v>1.0249728836958854</v>
          </cell>
          <cell r="AN21">
            <v>1.0108601638410164</v>
          </cell>
          <cell r="AO21">
            <v>1.0240642854420736</v>
          </cell>
          <cell r="AP21">
            <v>1.0240642854420736</v>
          </cell>
          <cell r="AQ21">
            <v>1.0240642854420736</v>
          </cell>
          <cell r="AR21">
            <v>1.0204373558619597</v>
          </cell>
          <cell r="AS21">
            <v>1.0084220748959656</v>
          </cell>
          <cell r="AT21">
            <v>1.0098135153940919</v>
          </cell>
          <cell r="AU21">
            <v>1.0004831212645915</v>
          </cell>
          <cell r="AV21">
            <v>1.0010438715724825</v>
          </cell>
          <cell r="AW21">
            <v>1.0101871032163177</v>
          </cell>
          <cell r="AX21">
            <v>1.0163349789826563</v>
          </cell>
          <cell r="AY21">
            <v>1.0189941616077398</v>
          </cell>
          <cell r="AZ21">
            <v>1.0497033328089915</v>
          </cell>
          <cell r="BA21">
            <v>1.000261622063874</v>
          </cell>
          <cell r="BB21">
            <v>1.0019287406630375</v>
          </cell>
          <cell r="BC21">
            <v>1.0129257308852679</v>
          </cell>
          <cell r="BD21">
            <v>1.015887877546475</v>
          </cell>
          <cell r="BE21">
            <v>1.0114103911475201</v>
          </cell>
          <cell r="BF21">
            <v>1.0179986333401598</v>
          </cell>
          <cell r="BG21">
            <v>1.0255973355116801</v>
          </cell>
          <cell r="BH21">
            <v>1.01780167653056</v>
          </cell>
          <cell r="BI21">
            <v>1.0206295843695488</v>
          </cell>
          <cell r="BJ21">
            <v>1.0215449248852098</v>
          </cell>
          <cell r="BK21">
            <v>1</v>
          </cell>
          <cell r="BL21">
            <v>1.0109476908959998</v>
          </cell>
          <cell r="BM21">
            <v>1</v>
          </cell>
          <cell r="BN21">
            <v>1.0102209815999998</v>
          </cell>
          <cell r="BO21">
            <v>1.0075834499999998</v>
          </cell>
          <cell r="BP21">
            <v>1.0057046584544003</v>
          </cell>
          <cell r="BQ21">
            <v>1.0247907179859201</v>
          </cell>
          <cell r="BR21">
            <v>1.0252400851622401</v>
          </cell>
          <cell r="BS21">
            <v>1.02908375684992</v>
          </cell>
          <cell r="BT21">
            <v>1.0293751297765761</v>
          </cell>
          <cell r="BU21">
            <v>1.0317402688055552</v>
          </cell>
          <cell r="BV21">
            <v>1</v>
          </cell>
          <cell r="BW21">
            <v>1.0064949496</v>
          </cell>
          <cell r="BX21">
            <v>1.0003378852912364</v>
          </cell>
          <cell r="BY21">
            <v>1.0061438472000002</v>
          </cell>
          <cell r="BZ21">
            <v>1.0003196199706434</v>
          </cell>
          <cell r="CA21">
            <v>1.0075849632</v>
          </cell>
          <cell r="CB21">
            <v>1.000394590821744</v>
          </cell>
          <cell r="CC21">
            <v>1.0183717967679999</v>
          </cell>
          <cell r="CD21">
            <v>1.0304057299183618</v>
          </cell>
        </row>
        <row r="22">
          <cell r="B22">
            <v>1.0188360577103066</v>
          </cell>
          <cell r="C22">
            <v>1.0496494759010697</v>
          </cell>
          <cell r="D22">
            <v>1.0186524135603094</v>
          </cell>
          <cell r="E22">
            <v>1.0497189943899305</v>
          </cell>
          <cell r="F22">
            <v>1.0507924074223278</v>
          </cell>
          <cell r="G22">
            <v>1.0532753059829765</v>
          </cell>
          <cell r="H22">
            <v>1.0840562431029444</v>
          </cell>
          <cell r="I22">
            <v>1.051009458757731</v>
          </cell>
          <cell r="J22">
            <v>1</v>
          </cell>
          <cell r="K22">
            <v>1.051009458757731</v>
          </cell>
          <cell r="L22">
            <v>1.0021584205052856</v>
          </cell>
          <cell r="M22">
            <v>1</v>
          </cell>
          <cell r="N22">
            <v>1.0199005812118678</v>
          </cell>
          <cell r="O22">
            <v>1.0524092759354486</v>
          </cell>
          <cell r="P22">
            <v>1.0166402163895543</v>
          </cell>
          <cell r="Q22">
            <v>1.0544352757478501</v>
          </cell>
          <cell r="R22">
            <v>1</v>
          </cell>
          <cell r="S22">
            <v>1</v>
          </cell>
          <cell r="T22">
            <v>1.0044594172327503</v>
          </cell>
          <cell r="U22">
            <v>1.0496494759010697</v>
          </cell>
          <cell r="V22">
            <v>1.0370449904890566</v>
          </cell>
          <cell r="W22">
            <v>1.0166519616893706</v>
          </cell>
          <cell r="X22">
            <v>1.0528299742182941</v>
          </cell>
          <cell r="Y22">
            <v>1.0528299742182941</v>
          </cell>
          <cell r="Z22">
            <v>1</v>
          </cell>
          <cell r="AA22">
            <v>1</v>
          </cell>
          <cell r="AB22">
            <v>1</v>
          </cell>
          <cell r="AC22">
            <v>1.038598526663506</v>
          </cell>
          <cell r="AD22">
            <v>1.0149841751149649</v>
          </cell>
          <cell r="AE22">
            <v>1</v>
          </cell>
          <cell r="AF22">
            <v>1</v>
          </cell>
          <cell r="AG22">
            <v>1.0052054175464611</v>
          </cell>
          <cell r="AH22">
            <v>1.0496494759010697</v>
          </cell>
          <cell r="AI22">
            <v>1</v>
          </cell>
          <cell r="AJ22">
            <v>1</v>
          </cell>
          <cell r="AK22">
            <v>1.0053632261332568</v>
          </cell>
          <cell r="AL22">
            <v>1.0093810470798976</v>
          </cell>
          <cell r="AM22">
            <v>1.0249728836958854</v>
          </cell>
          <cell r="AN22">
            <v>1.0108601638410164</v>
          </cell>
          <cell r="AO22">
            <v>1.0240642854420736</v>
          </cell>
          <cell r="AP22">
            <v>1.0240642854420736</v>
          </cell>
          <cell r="AQ22">
            <v>1.0240642854420736</v>
          </cell>
          <cell r="AR22">
            <v>1.0186420463158905</v>
          </cell>
          <cell r="AS22">
            <v>1.0093038238838825</v>
          </cell>
          <cell r="AT22">
            <v>1.0103856638703803</v>
          </cell>
          <cell r="AU22">
            <v>1.0003466423331488</v>
          </cell>
          <cell r="AV22">
            <v>1.0007905529694148</v>
          </cell>
          <cell r="AW22">
            <v>1.0109062949696299</v>
          </cell>
          <cell r="AX22">
            <v>1.0143206870528587</v>
          </cell>
          <cell r="AY22">
            <v>1.0166519616893706</v>
          </cell>
          <cell r="AZ22">
            <v>1.0460829671191763</v>
          </cell>
          <cell r="BA22">
            <v>1.0002943215373616</v>
          </cell>
          <cell r="BB22">
            <v>1.0011423671663837</v>
          </cell>
          <cell r="BC22">
            <v>1.0119809558004791</v>
          </cell>
          <cell r="BD22">
            <v>1.0147265915047554</v>
          </cell>
          <cell r="BE22">
            <v>1.0125251352345599</v>
          </cell>
          <cell r="BF22">
            <v>1.0171171157759997</v>
          </cell>
          <cell r="BG22">
            <v>1.0231701521856</v>
          </cell>
          <cell r="BH22">
            <v>1.0198353309921535</v>
          </cell>
          <cell r="BI22">
            <v>1.0208814006110976</v>
          </cell>
          <cell r="BJ22">
            <v>1.0188703072108289</v>
          </cell>
          <cell r="BK22">
            <v>1</v>
          </cell>
          <cell r="BL22">
            <v>1.01070949056</v>
          </cell>
          <cell r="BM22">
            <v>1</v>
          </cell>
          <cell r="BN22">
            <v>1.0106127262720002</v>
          </cell>
          <cell r="BO22">
            <v>1.0079860191999999</v>
          </cell>
          <cell r="BP22">
            <v>1.00618767456</v>
          </cell>
          <cell r="BQ22">
            <v>1.0300501760742147</v>
          </cell>
          <cell r="BR22">
            <v>1.0249368350592001</v>
          </cell>
          <cell r="BS22">
            <v>1.0283395556288</v>
          </cell>
          <cell r="BT22">
            <v>1.0257279992461568</v>
          </cell>
          <cell r="BU22">
            <v>1.0218073703135231</v>
          </cell>
          <cell r="BV22">
            <v>1</v>
          </cell>
          <cell r="BW22">
            <v>1.0049751088000001</v>
          </cell>
          <cell r="BX22">
            <v>1.0002522167096639</v>
          </cell>
          <cell r="BY22">
            <v>1.0058218176</v>
          </cell>
          <cell r="BZ22">
            <v>1.0002951412196925</v>
          </cell>
          <cell r="CA22">
            <v>1.0058424784</v>
          </cell>
          <cell r="CB22">
            <v>1.0002961886337702</v>
          </cell>
          <cell r="CC22">
            <v>1.0188926838400001</v>
          </cell>
          <cell r="CD22">
            <v>1.0218173011937535</v>
          </cell>
        </row>
        <row r="23">
          <cell r="B23">
            <v>1.0159946203202168</v>
          </cell>
          <cell r="C23">
            <v>1.0457193246618799</v>
          </cell>
          <cell r="D23">
            <v>1.0156334540242198</v>
          </cell>
          <cell r="E23">
            <v>1.0445965145454761</v>
          </cell>
          <cell r="F23">
            <v>1.0459872534101882</v>
          </cell>
          <cell r="G23">
            <v>1.048689484513335</v>
          </cell>
          <cell r="H23">
            <v>1.0827551048712645</v>
          </cell>
          <cell r="I23">
            <v>1.0500007548395682</v>
          </cell>
          <cell r="J23">
            <v>1</v>
          </cell>
          <cell r="K23">
            <v>1.0500007548395682</v>
          </cell>
          <cell r="L23">
            <v>1.001787235203661</v>
          </cell>
          <cell r="M23">
            <v>1</v>
          </cell>
          <cell r="N23">
            <v>1.0199005812118678</v>
          </cell>
          <cell r="O23">
            <v>1.0482545206277745</v>
          </cell>
          <cell r="P23">
            <v>1.014008784203821</v>
          </cell>
          <cell r="Q23">
            <v>1.0489684766918688</v>
          </cell>
          <cell r="R23">
            <v>1</v>
          </cell>
          <cell r="S23">
            <v>1</v>
          </cell>
          <cell r="T23">
            <v>1.0033738842830504</v>
          </cell>
          <cell r="U23">
            <v>1.0457193246618799</v>
          </cell>
          <cell r="V23">
            <v>1.0343851016267041</v>
          </cell>
          <cell r="W23">
            <v>1.0141786898632197</v>
          </cell>
          <cell r="X23">
            <v>1.047859374192772</v>
          </cell>
          <cell r="Y23">
            <v>1.047859374192772</v>
          </cell>
          <cell r="Z23">
            <v>1</v>
          </cell>
          <cell r="AA23">
            <v>1</v>
          </cell>
          <cell r="AB23">
            <v>1</v>
          </cell>
          <cell r="AC23">
            <v>1.0338834090162095</v>
          </cell>
          <cell r="AD23">
            <v>1.0124774462304531</v>
          </cell>
          <cell r="AE23">
            <v>1</v>
          </cell>
          <cell r="AF23">
            <v>1</v>
          </cell>
          <cell r="AG23">
            <v>1.0043291911934846</v>
          </cell>
          <cell r="AH23">
            <v>1.0457193246618799</v>
          </cell>
          <cell r="AI23">
            <v>1</v>
          </cell>
          <cell r="AJ23">
            <v>1</v>
          </cell>
          <cell r="AK23">
            <v>1.0040561920535289</v>
          </cell>
          <cell r="AL23">
            <v>1.0093810470798976</v>
          </cell>
          <cell r="AM23">
            <v>1.0249728836958854</v>
          </cell>
          <cell r="AN23">
            <v>1.0108601638410164</v>
          </cell>
          <cell r="AO23">
            <v>1.0240642854420736</v>
          </cell>
          <cell r="AP23">
            <v>1.0240642854420736</v>
          </cell>
          <cell r="AQ23">
            <v>1.0240642854420736</v>
          </cell>
          <cell r="AR23">
            <v>1.0158427425151602</v>
          </cell>
          <cell r="AS23">
            <v>1.0082780307134533</v>
          </cell>
          <cell r="AT23">
            <v>1.0091346274997319</v>
          </cell>
          <cell r="AU23">
            <v>1.0002421322709196</v>
          </cell>
          <cell r="AV23">
            <v>1.0006574794284275</v>
          </cell>
          <cell r="AW23">
            <v>1.0090817617928871</v>
          </cell>
          <cell r="AX23">
            <v>1.0121936732823689</v>
          </cell>
          <cell r="AY23">
            <v>1.0141786898632197</v>
          </cell>
          <cell r="AZ23">
            <v>1.0424351334403303</v>
          </cell>
          <cell r="BA23">
            <v>1.0002226763626814</v>
          </cell>
          <cell r="BB23">
            <v>1.0008639689074017</v>
          </cell>
          <cell r="BC23">
            <v>1.0100863246267511</v>
          </cell>
          <cell r="BD23">
            <v>1.0123977740203816</v>
          </cell>
          <cell r="BE23">
            <v>1.0077027401087997</v>
          </cell>
          <cell r="BF23">
            <v>1.0107947112960001</v>
          </cell>
          <cell r="BG23">
            <v>1.0175511258751999</v>
          </cell>
          <cell r="BH23">
            <v>1.0174161459974784</v>
          </cell>
          <cell r="BI23">
            <v>1.0129306681736323</v>
          </cell>
          <cell r="BJ23">
            <v>1.0132954341713025</v>
          </cell>
          <cell r="BK23">
            <v>1</v>
          </cell>
          <cell r="BL23">
            <v>1.0072066144000003</v>
          </cell>
          <cell r="BM23">
            <v>1</v>
          </cell>
          <cell r="BN23">
            <v>1.0050451808</v>
          </cell>
          <cell r="BO23">
            <v>1.004238768</v>
          </cell>
          <cell r="BP23">
            <v>1.0035036265599999</v>
          </cell>
          <cell r="BQ23">
            <v>1.0204064206781311</v>
          </cell>
          <cell r="BR23">
            <v>1.0184739468032002</v>
          </cell>
          <cell r="BS23">
            <v>1.0243433101312003</v>
          </cell>
          <cell r="BT23">
            <v>1.0233216895996928</v>
          </cell>
          <cell r="BU23">
            <v>1.013010701061376</v>
          </cell>
          <cell r="BV23">
            <v>1</v>
          </cell>
          <cell r="BW23">
            <v>1.0027785440000001</v>
          </cell>
          <cell r="BX23">
            <v>1.0001381864064434</v>
          </cell>
          <cell r="BY23">
            <v>1.0034497120000001</v>
          </cell>
          <cell r="BZ23">
            <v>1.0001715658649077</v>
          </cell>
          <cell r="CA23">
            <v>1.0036539200000001</v>
          </cell>
          <cell r="CB23">
            <v>1.0001817218205764</v>
          </cell>
          <cell r="CC23">
            <v>1.01325999424</v>
          </cell>
          <cell r="CD23">
            <v>1.0152422183060417</v>
          </cell>
        </row>
        <row r="24">
          <cell r="B24">
            <v>1.0168417227384361</v>
          </cell>
          <cell r="C24">
            <v>1.0473775520942246</v>
          </cell>
          <cell r="D24">
            <v>1.0199120115627966</v>
          </cell>
          <cell r="E24">
            <v>1.0471268559135836</v>
          </cell>
          <cell r="F24">
            <v>1.0527310913705206</v>
          </cell>
          <cell r="G24">
            <v>1.0556915640594902</v>
          </cell>
          <cell r="H24">
            <v>1.0921387701551299</v>
          </cell>
          <cell r="I24">
            <v>1.0596473853689494</v>
          </cell>
          <cell r="J24">
            <v>1</v>
          </cell>
          <cell r="K24">
            <v>1.0596473853689494</v>
          </cell>
          <cell r="L24">
            <v>1.0072050960851102</v>
          </cell>
          <cell r="M24">
            <v>1</v>
          </cell>
          <cell r="N24">
            <v>1.0199005812118678</v>
          </cell>
          <cell r="O24">
            <v>1.0514279737455077</v>
          </cell>
          <cell r="P24">
            <v>1.0142153769925786</v>
          </cell>
          <cell r="Q24">
            <v>1.0518826116771665</v>
          </cell>
          <cell r="R24">
            <v>1</v>
          </cell>
          <cell r="S24">
            <v>1</v>
          </cell>
          <cell r="T24">
            <v>1.0018684013257366</v>
          </cell>
          <cell r="U24">
            <v>1.0473775520942246</v>
          </cell>
          <cell r="V24">
            <v>1.036798057644533</v>
          </cell>
          <cell r="W24">
            <v>1.010666555971476</v>
          </cell>
          <cell r="X24">
            <v>1.0512713868100347</v>
          </cell>
          <cell r="Y24">
            <v>1.0512713868100347</v>
          </cell>
          <cell r="Z24">
            <v>1</v>
          </cell>
          <cell r="AA24">
            <v>1</v>
          </cell>
          <cell r="AB24">
            <v>1</v>
          </cell>
          <cell r="AC24">
            <v>1.0411752705090704</v>
          </cell>
          <cell r="AD24">
            <v>1.0148027819086509</v>
          </cell>
          <cell r="AE24">
            <v>1</v>
          </cell>
          <cell r="AF24">
            <v>1</v>
          </cell>
          <cell r="AG24">
            <v>1.0051320657313136</v>
          </cell>
          <cell r="AH24">
            <v>1.0473775520942246</v>
          </cell>
          <cell r="AI24">
            <v>1</v>
          </cell>
          <cell r="AJ24">
            <v>1</v>
          </cell>
          <cell r="AK24">
            <v>1.0071528042175788</v>
          </cell>
          <cell r="AL24">
            <v>1.0093810470798976</v>
          </cell>
          <cell r="AM24">
            <v>1.0249728836958854</v>
          </cell>
          <cell r="AN24">
            <v>1.0108601638410164</v>
          </cell>
          <cell r="AO24">
            <v>1.0240642854420736</v>
          </cell>
          <cell r="AP24">
            <v>1.0240642854420736</v>
          </cell>
          <cell r="AQ24">
            <v>1.0240642854420736</v>
          </cell>
          <cell r="AR24">
            <v>1.0166765054896707</v>
          </cell>
          <cell r="AS24">
            <v>1.0102073975048742</v>
          </cell>
          <cell r="AT24">
            <v>1.0111101707888563</v>
          </cell>
          <cell r="AU24">
            <v>1.0009470005338099</v>
          </cell>
          <cell r="AV24">
            <v>1.000932751884966</v>
          </cell>
          <cell r="AW24">
            <v>1.0113287143584024</v>
          </cell>
          <cell r="AX24">
            <v>1.0091732381354694</v>
          </cell>
          <cell r="AY24">
            <v>1.010666555971476</v>
          </cell>
          <cell r="AZ24">
            <v>1.0439742441530622</v>
          </cell>
          <cell r="BA24">
            <v>1.0001177092835214</v>
          </cell>
          <cell r="BB24">
            <v>1.0015736169278673</v>
          </cell>
          <cell r="BC24">
            <v>1.0103487944505973</v>
          </cell>
          <cell r="BD24">
            <v>1.0125379625074542</v>
          </cell>
          <cell r="BE24">
            <v>1.0106400127944</v>
          </cell>
          <cell r="BF24">
            <v>1.0169606964623998</v>
          </cell>
          <cell r="BG24">
            <v>1.0263850142663999</v>
          </cell>
          <cell r="BH24">
            <v>1.0256174656484582</v>
          </cell>
          <cell r="BI24">
            <v>1.0187728813255079</v>
          </cell>
          <cell r="BJ24">
            <v>1.0187416993872127</v>
          </cell>
          <cell r="BK24">
            <v>1</v>
          </cell>
          <cell r="BL24">
            <v>1.01141219024</v>
          </cell>
          <cell r="BM24">
            <v>1</v>
          </cell>
          <cell r="BN24">
            <v>1.0078299576</v>
          </cell>
          <cell r="BO24">
            <v>1.0065712199999999</v>
          </cell>
          <cell r="BP24">
            <v>1.0051215403999998</v>
          </cell>
          <cell r="BQ24">
            <v>1.0337295926354881</v>
          </cell>
          <cell r="BR24">
            <v>1.029950176041547</v>
          </cell>
          <cell r="BS24">
            <v>1.035800438548288</v>
          </cell>
          <cell r="BT24">
            <v>1.0300994142649178</v>
          </cell>
          <cell r="BU24">
            <v>1.0210896411795802</v>
          </cell>
          <cell r="BV24">
            <v>1</v>
          </cell>
          <cell r="BW24">
            <v>1.0034630800000002</v>
          </cell>
          <cell r="BX24">
            <v>1.0001640347980905</v>
          </cell>
          <cell r="BY24">
            <v>1.0052095400000001</v>
          </cell>
          <cell r="BZ24">
            <v>1.0002467589088455</v>
          </cell>
          <cell r="CA24">
            <v>1.00534648</v>
          </cell>
          <cell r="CB24">
            <v>1.0002532453097517</v>
          </cell>
          <cell r="CC24">
            <v>1.01928053668</v>
          </cell>
          <cell r="CD24">
            <v>1.0210102659155402</v>
          </cell>
        </row>
        <row r="25">
          <cell r="B25">
            <v>1.0194105645891898</v>
          </cell>
          <cell r="C25">
            <v>1.0546167671718589</v>
          </cell>
          <cell r="D25">
            <v>1.0228865056232892</v>
          </cell>
          <cell r="E25">
            <v>1.0553776161877759</v>
          </cell>
          <cell r="F25">
            <v>1.0620867555326901</v>
          </cell>
          <cell r="G25">
            <v>1.0650225852206712</v>
          </cell>
          <cell r="H25">
            <v>1.1032312109389051</v>
          </cell>
          <cell r="I25">
            <v>1.0674295538908107</v>
          </cell>
          <cell r="J25">
            <v>1</v>
          </cell>
          <cell r="K25">
            <v>1.0674295538908107</v>
          </cell>
          <cell r="L25">
            <v>1.0105192106569552</v>
          </cell>
          <cell r="M25">
            <v>1</v>
          </cell>
          <cell r="N25">
            <v>1.0199005812118678</v>
          </cell>
          <cell r="O25">
            <v>1.0229700126300185</v>
          </cell>
          <cell r="P25">
            <v>1.0161686303579929</v>
          </cell>
          <cell r="Q25">
            <v>1.0602208249970033</v>
          </cell>
          <cell r="R25">
            <v>1</v>
          </cell>
          <cell r="S25">
            <v>1</v>
          </cell>
          <cell r="T25">
            <v>1.0073399372336542</v>
          </cell>
          <cell r="U25">
            <v>1.0546167671718589</v>
          </cell>
          <cell r="V25">
            <v>1.042142926229916</v>
          </cell>
          <cell r="W25">
            <v>1.0126315000024004</v>
          </cell>
          <cell r="X25">
            <v>1.0623509645288518</v>
          </cell>
          <cell r="Y25">
            <v>1.0623509645288518</v>
          </cell>
          <cell r="Z25">
            <v>1</v>
          </cell>
          <cell r="AA25">
            <v>1</v>
          </cell>
          <cell r="AB25">
            <v>1</v>
          </cell>
          <cell r="AC25">
            <v>1.0460998762651315</v>
          </cell>
          <cell r="AD25">
            <v>1.0167682695360425</v>
          </cell>
          <cell r="AE25">
            <v>1</v>
          </cell>
          <cell r="AF25">
            <v>1</v>
          </cell>
          <cell r="AG25">
            <v>1.008283489566888</v>
          </cell>
          <cell r="AH25">
            <v>1.0546167671718589</v>
          </cell>
          <cell r="AI25">
            <v>1</v>
          </cell>
          <cell r="AJ25">
            <v>1</v>
          </cell>
          <cell r="AK25">
            <v>1.0050380876405793</v>
          </cell>
          <cell r="AL25">
            <v>1.0093810470798976</v>
          </cell>
          <cell r="AM25">
            <v>1.0249728836958854</v>
          </cell>
          <cell r="AN25">
            <v>1.0108601638410164</v>
          </cell>
          <cell r="AO25">
            <v>1.0240642854420736</v>
          </cell>
          <cell r="AP25">
            <v>1.0240642854420736</v>
          </cell>
          <cell r="AQ25">
            <v>1.0240642854420736</v>
          </cell>
          <cell r="AR25">
            <v>1.019210084546907</v>
          </cell>
          <cell r="AS25">
            <v>1.0116782332333525</v>
          </cell>
          <cell r="AT25">
            <v>1.0124666450408002</v>
          </cell>
          <cell r="AU25">
            <v>1.0011399279312008</v>
          </cell>
          <cell r="AV25">
            <v>1.0015277511963034</v>
          </cell>
          <cell r="AW25">
            <v>1.0127813549898323</v>
          </cell>
          <cell r="AX25">
            <v>1.0108630900020645</v>
          </cell>
          <cell r="AY25">
            <v>1.0126315000024004</v>
          </cell>
          <cell r="AZ25">
            <v>1.0499658389898092</v>
          </cell>
          <cell r="BA25">
            <v>1.000491775794655</v>
          </cell>
          <cell r="BB25">
            <v>1.0011184554562087</v>
          </cell>
          <cell r="BC25">
            <v>1.0120456296167046</v>
          </cell>
          <cell r="BD25">
            <v>1.0139696966293057</v>
          </cell>
          <cell r="BE25">
            <v>1.0196397421308159</v>
          </cell>
          <cell r="BF25">
            <v>1.0291901907348799</v>
          </cell>
          <cell r="BG25">
            <v>1.0408633420571201</v>
          </cell>
          <cell r="BH25">
            <v>1.0324805180057983</v>
          </cell>
          <cell r="BI25">
            <v>1.0312444673214656</v>
          </cell>
          <cell r="BJ25">
            <v>1.0260280823599186</v>
          </cell>
          <cell r="BK25">
            <v>1</v>
          </cell>
          <cell r="BL25">
            <v>1.0195316840640001</v>
          </cell>
          <cell r="BM25">
            <v>1</v>
          </cell>
          <cell r="BN25">
            <v>1.0127365998560001</v>
          </cell>
          <cell r="BO25">
            <v>1.0118018400000002</v>
          </cell>
          <cell r="BP25">
            <v>1.0088514732399998</v>
          </cell>
          <cell r="BQ25">
            <v>1.0483254580038912</v>
          </cell>
          <cell r="BR25">
            <v>1.0540551625127119</v>
          </cell>
          <cell r="BS25">
            <v>1.0501627894324512</v>
          </cell>
          <cell r="BT25">
            <v>1.0432908112801382</v>
          </cell>
          <cell r="BU25">
            <v>1.0313073524569119</v>
          </cell>
          <cell r="BV25">
            <v>1</v>
          </cell>
          <cell r="BW25">
            <v>1.0061757680000001</v>
          </cell>
          <cell r="BX25">
            <v>1.0002812517051842</v>
          </cell>
          <cell r="BY25">
            <v>1.0092623119999999</v>
          </cell>
          <cell r="BZ25">
            <v>1.0004218165326075</v>
          </cell>
          <cell r="CA25">
            <v>1.0078601200000001</v>
          </cell>
          <cell r="CB25">
            <v>1.0003579590672693</v>
          </cell>
          <cell r="CC25">
            <v>1.030059827836</v>
          </cell>
          <cell r="CD25">
            <v>1.0131909049904479</v>
          </cell>
        </row>
        <row r="26">
          <cell r="B26">
            <v>1.0228330277751905</v>
          </cell>
          <cell r="C26">
            <v>1.0611255582951462</v>
          </cell>
          <cell r="D26">
            <v>1.0232760053041785</v>
          </cell>
          <cell r="E26">
            <v>1.0692125419545015</v>
          </cell>
          <cell r="F26">
            <v>1.0716047881460888</v>
          </cell>
          <cell r="G26">
            <v>1.0817275030046312</v>
          </cell>
          <cell r="H26">
            <v>1.116887184876203</v>
          </cell>
          <cell r="I26">
            <v>1.071079527666563</v>
          </cell>
          <cell r="J26">
            <v>1</v>
          </cell>
          <cell r="K26">
            <v>1.071079527666563</v>
          </cell>
          <cell r="L26">
            <v>1.010611419909045</v>
          </cell>
          <cell r="M26">
            <v>1</v>
          </cell>
          <cell r="N26">
            <v>1.0199005812118678</v>
          </cell>
          <cell r="O26">
            <v>1.0275396973961486</v>
          </cell>
          <cell r="P26">
            <v>1.0215352850323258</v>
          </cell>
          <cell r="Q26">
            <v>1.0684901365314154</v>
          </cell>
          <cell r="R26">
            <v>1</v>
          </cell>
          <cell r="S26">
            <v>1</v>
          </cell>
          <cell r="T26">
            <v>1.0115728216141546</v>
          </cell>
          <cell r="U26">
            <v>1.0611255582951462</v>
          </cell>
          <cell r="V26">
            <v>1.0480691539007625</v>
          </cell>
          <cell r="W26">
            <v>1.0166272974380992</v>
          </cell>
          <cell r="X26">
            <v>1.072310332185568</v>
          </cell>
          <cell r="Y26">
            <v>1.072310332185568</v>
          </cell>
          <cell r="Z26">
            <v>1</v>
          </cell>
          <cell r="AA26">
            <v>1</v>
          </cell>
          <cell r="AB26">
            <v>1</v>
          </cell>
          <cell r="AC26">
            <v>1.0555242178637505</v>
          </cell>
          <cell r="AD26">
            <v>1.0221524414578149</v>
          </cell>
          <cell r="AE26">
            <v>1</v>
          </cell>
          <cell r="AF26">
            <v>1</v>
          </cell>
          <cell r="AG26">
            <v>1.0112758828693778</v>
          </cell>
          <cell r="AH26">
            <v>1.0611255582951462</v>
          </cell>
          <cell r="AI26">
            <v>1</v>
          </cell>
          <cell r="AJ26">
            <v>1</v>
          </cell>
          <cell r="AK26">
            <v>1.0079709698132646</v>
          </cell>
          <cell r="AL26">
            <v>1.0093810470798976</v>
          </cell>
          <cell r="AM26">
            <v>1.0249728836958854</v>
          </cell>
          <cell r="AN26">
            <v>1.0108601638410164</v>
          </cell>
          <cell r="AO26">
            <v>1.0240642854420736</v>
          </cell>
          <cell r="AP26">
            <v>1.0240642854420736</v>
          </cell>
          <cell r="AQ26">
            <v>1.0240642854420736</v>
          </cell>
          <cell r="AR26">
            <v>1.0226032160064769</v>
          </cell>
          <cell r="AS26">
            <v>1.0133729865882717</v>
          </cell>
          <cell r="AT26">
            <v>1.0140270740749127</v>
          </cell>
          <cell r="AU26">
            <v>1.0004897614227051</v>
          </cell>
          <cell r="AV26">
            <v>1.0011012888516739</v>
          </cell>
          <cell r="AW26">
            <v>1.0173763904165529</v>
          </cell>
          <cell r="AX26">
            <v>1.0142994757967654</v>
          </cell>
          <cell r="AY26">
            <v>1.0166272974380992</v>
          </cell>
          <cell r="AZ26">
            <v>1.0552049857375363</v>
          </cell>
          <cell r="BA26">
            <v>1.0006467476055714</v>
          </cell>
          <cell r="BB26">
            <v>1.0010271171682064</v>
          </cell>
          <cell r="BC26">
            <v>1.0155054052232746</v>
          </cell>
          <cell r="BD26">
            <v>1.0184557392727034</v>
          </cell>
          <cell r="BE26">
            <v>1.0234663250424543</v>
          </cell>
          <cell r="BF26">
            <v>1.0373255849231997</v>
          </cell>
          <cell r="BG26">
            <v>1.0481751414056317</v>
          </cell>
          <cell r="BH26">
            <v>1.0361430350000509</v>
          </cell>
          <cell r="BI26">
            <v>1.0388823907649793</v>
          </cell>
          <cell r="BJ26">
            <v>1.0302775124671821</v>
          </cell>
          <cell r="BK26">
            <v>1</v>
          </cell>
          <cell r="BL26">
            <v>1.0193206430455999</v>
          </cell>
          <cell r="BM26">
            <v>1</v>
          </cell>
          <cell r="BN26">
            <v>1.0224736842191999</v>
          </cell>
          <cell r="BO26">
            <v>1.015946574</v>
          </cell>
          <cell r="BP26">
            <v>1.0111872303123999</v>
          </cell>
          <cell r="BQ26">
            <v>1.0558355025490906</v>
          </cell>
          <cell r="BR26">
            <v>1.0607638638931582</v>
          </cell>
          <cell r="BS26">
            <v>1.0577136389359385</v>
          </cell>
          <cell r="BT26">
            <v>1.0525737154386803</v>
          </cell>
          <cell r="BU26">
            <v>1.0382877635709542</v>
          </cell>
          <cell r="BV26">
            <v>1</v>
          </cell>
          <cell r="BW26">
            <v>1.0038605124</v>
          </cell>
          <cell r="BX26">
            <v>1.0001721869885174</v>
          </cell>
          <cell r="BY26">
            <v>1.0038605124</v>
          </cell>
          <cell r="BZ26">
            <v>1.0001721869885174</v>
          </cell>
          <cell r="CA26">
            <v>1.0038605124</v>
          </cell>
          <cell r="CB26">
            <v>1.0001721869885174</v>
          </cell>
          <cell r="CC26">
            <v>1.0368104292832001</v>
          </cell>
          <cell r="CD26">
            <v>1.0160731346415999</v>
          </cell>
        </row>
        <row r="27">
          <cell r="B27">
            <v>1.0229930706020613</v>
          </cell>
          <cell r="C27">
            <v>1.0591274705870117</v>
          </cell>
          <cell r="D27">
            <v>1.0253956990506794</v>
          </cell>
          <cell r="E27">
            <v>1.0671877720558323</v>
          </cell>
          <cell r="F27">
            <v>1.0687787309694092</v>
          </cell>
          <cell r="G27">
            <v>1.0776402199698532</v>
          </cell>
          <cell r="H27">
            <v>1.1123985092699025</v>
          </cell>
          <cell r="I27">
            <v>1.0683055910562016</v>
          </cell>
          <cell r="J27">
            <v>1</v>
          </cell>
          <cell r="K27">
            <v>1.0683055910562016</v>
          </cell>
          <cell r="L27">
            <v>1.006788074982478</v>
          </cell>
          <cell r="M27">
            <v>1</v>
          </cell>
          <cell r="N27">
            <v>1.0199005812118678</v>
          </cell>
          <cell r="O27">
            <v>1.0269732726737537</v>
          </cell>
          <cell r="P27">
            <v>1.0207794991159442</v>
          </cell>
          <cell r="Q27">
            <v>1.0642001559141749</v>
          </cell>
          <cell r="R27">
            <v>1</v>
          </cell>
          <cell r="S27">
            <v>1</v>
          </cell>
          <cell r="T27">
            <v>1.012017287797204</v>
          </cell>
          <cell r="U27">
            <v>1.0591274705870117</v>
          </cell>
          <cell r="V27">
            <v>1.0451767917359454</v>
          </cell>
          <cell r="W27">
            <v>1.0160939037730523</v>
          </cell>
          <cell r="X27">
            <v>1.0690646473271317</v>
          </cell>
          <cell r="Y27">
            <v>1.0690646473271317</v>
          </cell>
          <cell r="Z27">
            <v>1</v>
          </cell>
          <cell r="AA27">
            <v>1</v>
          </cell>
          <cell r="AB27">
            <v>1</v>
          </cell>
          <cell r="AC27">
            <v>1.0527021535587122</v>
          </cell>
          <cell r="AD27">
            <v>1.0214242320194333</v>
          </cell>
          <cell r="AE27">
            <v>1</v>
          </cell>
          <cell r="AF27">
            <v>1</v>
          </cell>
          <cell r="AG27">
            <v>1.0108113915886796</v>
          </cell>
          <cell r="AH27">
            <v>1.0591274705870117</v>
          </cell>
          <cell r="AI27">
            <v>1</v>
          </cell>
          <cell r="AJ27">
            <v>1</v>
          </cell>
          <cell r="AK27">
            <v>1.0082739904661528</v>
          </cell>
          <cell r="AL27">
            <v>1.0093810470798976</v>
          </cell>
          <cell r="AM27">
            <v>1.0249728836958854</v>
          </cell>
          <cell r="AN27">
            <v>1.0108601638410164</v>
          </cell>
          <cell r="AO27">
            <v>1.0240642854420736</v>
          </cell>
          <cell r="AP27">
            <v>1.0240642854420736</v>
          </cell>
          <cell r="AQ27">
            <v>1.0240642854420736</v>
          </cell>
          <cell r="AR27">
            <v>1.0227385146433665</v>
          </cell>
          <cell r="AS27">
            <v>1.0140076159712572</v>
          </cell>
          <cell r="AT27">
            <v>1.0146889004687831</v>
          </cell>
          <cell r="AU27">
            <v>1.000315631628818</v>
          </cell>
          <cell r="AV27">
            <v>1.0010808669002029</v>
          </cell>
          <cell r="AW27">
            <v>1.0168269208798792</v>
          </cell>
          <cell r="AX27">
            <v>1.0138407572448251</v>
          </cell>
          <cell r="AY27">
            <v>1.0160939037730523</v>
          </cell>
          <cell r="AZ27">
            <v>1.0537107784888766</v>
          </cell>
          <cell r="BA27">
            <v>1.0008692293230754</v>
          </cell>
          <cell r="BB27">
            <v>1.0012135186017026</v>
          </cell>
          <cell r="BC27">
            <v>1.0148137049197565</v>
          </cell>
          <cell r="BD27">
            <v>1.0181924514760092</v>
          </cell>
          <cell r="BE27">
            <v>1.0243004251016961</v>
          </cell>
          <cell r="BF27">
            <v>1.0368854864943999</v>
          </cell>
          <cell r="BG27">
            <v>1.0482106432537597</v>
          </cell>
          <cell r="BH27">
            <v>1.0349482215457506</v>
          </cell>
          <cell r="BI27">
            <v>1.0384463813607396</v>
          </cell>
          <cell r="BJ27">
            <v>1.0307029351747943</v>
          </cell>
          <cell r="BK27">
            <v>1</v>
          </cell>
          <cell r="BL27">
            <v>1.020478749692</v>
          </cell>
          <cell r="BM27">
            <v>1</v>
          </cell>
          <cell r="BN27">
            <v>1.0166975687504001</v>
          </cell>
          <cell r="BO27">
            <v>1.0172742983</v>
          </cell>
          <cell r="BP27">
            <v>1.0119466392743999</v>
          </cell>
          <cell r="BQ27">
            <v>1.0577078224886938</v>
          </cell>
          <cell r="BR27">
            <v>1.0601311412920216</v>
          </cell>
          <cell r="BS27">
            <v>1.0574835396971161</v>
          </cell>
          <cell r="BT27">
            <v>1.0420309227598719</v>
          </cell>
          <cell r="BU27">
            <v>1.0384222191397707</v>
          </cell>
          <cell r="BV27">
            <v>1</v>
          </cell>
          <cell r="BW27">
            <v>1.0033480078000001</v>
          </cell>
          <cell r="BX27">
            <v>1.000148157802506</v>
          </cell>
          <cell r="BY27">
            <v>1.0119205840000001</v>
          </cell>
          <cell r="BZ27">
            <v>1.0005275159544216</v>
          </cell>
          <cell r="CA27">
            <v>1.0111885391</v>
          </cell>
          <cell r="CB27">
            <v>1.0004951211183881</v>
          </cell>
          <cell r="CC27">
            <v>1.0369747264959999</v>
          </cell>
          <cell r="CD27">
            <v>1.0159414885873277</v>
          </cell>
        </row>
        <row r="28">
          <cell r="B28">
            <v>1.0238366398843508</v>
          </cell>
          <cell r="C28">
            <v>1.0484649337646388</v>
          </cell>
          <cell r="D28">
            <v>1.0259536119978605</v>
          </cell>
          <cell r="E28">
            <v>1.0615022299362404</v>
          </cell>
          <cell r="F28">
            <v>1.0631841376109499</v>
          </cell>
          <cell r="G28">
            <v>1.0696325967867522</v>
          </cell>
          <cell r="H28">
            <v>1.0987535231284222</v>
          </cell>
          <cell r="I28">
            <v>1.087192632733899</v>
          </cell>
          <cell r="J28">
            <v>1</v>
          </cell>
          <cell r="K28">
            <v>1.087192632733899</v>
          </cell>
          <cell r="L28">
            <v>1.0096738956607063</v>
          </cell>
          <cell r="M28">
            <v>1</v>
          </cell>
          <cell r="N28">
            <v>1.0199005812118678</v>
          </cell>
          <cell r="O28">
            <v>1.0197394328533558</v>
          </cell>
          <cell r="P28">
            <v>1.0204639176048171</v>
          </cell>
          <cell r="Q28">
            <v>1.0655417909014071</v>
          </cell>
          <cell r="R28">
            <v>1</v>
          </cell>
          <cell r="S28">
            <v>1</v>
          </cell>
          <cell r="T28">
            <v>1.0135438306521536</v>
          </cell>
          <cell r="U28">
            <v>1.0484649337646388</v>
          </cell>
          <cell r="V28">
            <v>1.0412405072749704</v>
          </cell>
          <cell r="W28">
            <v>1.0163437043142793</v>
          </cell>
          <cell r="X28">
            <v>1.0654220163028505</v>
          </cell>
          <cell r="Y28">
            <v>1.0654220163028505</v>
          </cell>
          <cell r="Z28">
            <v>1</v>
          </cell>
          <cell r="AA28">
            <v>1</v>
          </cell>
          <cell r="AB28">
            <v>1</v>
          </cell>
          <cell r="AC28">
            <v>1.0500557732669555</v>
          </cell>
          <cell r="AD28">
            <v>1.0177382863468296</v>
          </cell>
          <cell r="AE28">
            <v>1</v>
          </cell>
          <cell r="AF28">
            <v>1</v>
          </cell>
          <cell r="AG28">
            <v>1.0164521007423901</v>
          </cell>
          <cell r="AH28">
            <v>1.0484649337646388</v>
          </cell>
          <cell r="AI28">
            <v>1</v>
          </cell>
          <cell r="AJ28">
            <v>1</v>
          </cell>
          <cell r="AK28">
            <v>1.0111191404658806</v>
          </cell>
          <cell r="AL28">
            <v>1.0093810470798976</v>
          </cell>
          <cell r="AM28">
            <v>1.0249728836958854</v>
          </cell>
          <cell r="AN28">
            <v>1.0108601638410164</v>
          </cell>
          <cell r="AO28">
            <v>1.0240642854420736</v>
          </cell>
          <cell r="AP28">
            <v>1.0240642854420736</v>
          </cell>
          <cell r="AQ28">
            <v>1.0240642854420736</v>
          </cell>
          <cell r="AR28">
            <v>1.0235587090690919</v>
          </cell>
          <cell r="AS28">
            <v>1.0141391306013481</v>
          </cell>
          <cell r="AT28">
            <v>1.0147341906777196</v>
          </cell>
          <cell r="AU28">
            <v>1.0004490297095656</v>
          </cell>
          <cell r="AV28">
            <v>1.0017841770618099</v>
          </cell>
          <cell r="AW28">
            <v>1.0138936886011729</v>
          </cell>
          <cell r="AX28">
            <v>1.0140555857102802</v>
          </cell>
          <cell r="AY28">
            <v>1.0163437043142793</v>
          </cell>
          <cell r="AZ28">
            <v>1.042154897432872</v>
          </cell>
          <cell r="BA28">
            <v>1.0010289041770488</v>
          </cell>
          <cell r="BB28">
            <v>1.002182885939805</v>
          </cell>
          <cell r="BC28">
            <v>1.0151003248005945</v>
          </cell>
          <cell r="BD28">
            <v>1.0174823248097953</v>
          </cell>
          <cell r="BE28">
            <v>1.0211126176226477</v>
          </cell>
          <cell r="BF28">
            <v>1.0327497608118783</v>
          </cell>
          <cell r="BG28">
            <v>1.0388936339074408</v>
          </cell>
          <cell r="BH28">
            <v>1.0324015118650471</v>
          </cell>
          <cell r="BI28">
            <v>1.0361740958199395</v>
          </cell>
          <cell r="BJ28">
            <v>1.0261577222521856</v>
          </cell>
          <cell r="BK28">
            <v>1</v>
          </cell>
          <cell r="BL28">
            <v>1.0213982838018771</v>
          </cell>
          <cell r="BM28">
            <v>1</v>
          </cell>
          <cell r="BN28">
            <v>1.0179004792442372</v>
          </cell>
          <cell r="BO28">
            <v>1.0179855448108228</v>
          </cell>
          <cell r="BP28">
            <v>1.0102984687359999</v>
          </cell>
          <cell r="BQ28">
            <v>1.0481053041953943</v>
          </cell>
          <cell r="BR28">
            <v>1.0474312228821245</v>
          </cell>
          <cell r="BS28">
            <v>1.0471514433433597</v>
          </cell>
          <cell r="BT28">
            <v>1.0359805149208321</v>
          </cell>
          <cell r="BU28">
            <v>1.031416453402803</v>
          </cell>
          <cell r="BV28">
            <v>1</v>
          </cell>
          <cell r="BW28">
            <v>1.0035099424</v>
          </cell>
          <cell r="BX28">
            <v>1.0001551799642132</v>
          </cell>
          <cell r="BY28">
            <v>1.007259847264</v>
          </cell>
          <cell r="BZ28">
            <v>1.0003209690388715</v>
          </cell>
          <cell r="CA28">
            <v>1.0041613383999999</v>
          </cell>
          <cell r="CB28">
            <v>1.0001839791855249</v>
          </cell>
          <cell r="CC28">
            <v>1.0314093994240001</v>
          </cell>
          <cell r="CD28">
            <v>1.0140822756670034</v>
          </cell>
        </row>
        <row r="29">
          <cell r="B29">
            <v>1.0168382170039527</v>
          </cell>
          <cell r="C29">
            <v>1.0414214551320802</v>
          </cell>
          <cell r="D29">
            <v>1.0186831058142825</v>
          </cell>
          <cell r="E29">
            <v>1.0469814306186083</v>
          </cell>
          <cell r="F29">
            <v>1.0451092825401658</v>
          </cell>
          <cell r="G29">
            <v>1.0441958368604827</v>
          </cell>
          <cell r="H29">
            <v>1.0781507324461241</v>
          </cell>
          <cell r="I29">
            <v>1.0999496095746668</v>
          </cell>
          <cell r="J29">
            <v>1</v>
          </cell>
          <cell r="K29">
            <v>1.0999496095746668</v>
          </cell>
          <cell r="L29">
            <v>1.0067538690491347</v>
          </cell>
          <cell r="M29">
            <v>1</v>
          </cell>
          <cell r="N29">
            <v>1.0199005812118678</v>
          </cell>
          <cell r="O29">
            <v>1.0136669518370116</v>
          </cell>
          <cell r="P29">
            <v>1.0153734084147894</v>
          </cell>
          <cell r="Q29">
            <v>1.0497686166174793</v>
          </cell>
          <cell r="R29">
            <v>1</v>
          </cell>
          <cell r="S29">
            <v>1</v>
          </cell>
          <cell r="T29">
            <v>1.0128971833036577</v>
          </cell>
          <cell r="U29">
            <v>1.0414214551320802</v>
          </cell>
          <cell r="V29">
            <v>1.0309558319096153</v>
          </cell>
          <cell r="W29">
            <v>1.0130128298195094</v>
          </cell>
          <cell r="X29">
            <v>1.0503293399431501</v>
          </cell>
          <cell r="Y29">
            <v>1.0503293399431501</v>
          </cell>
          <cell r="Z29">
            <v>1</v>
          </cell>
          <cell r="AA29">
            <v>1</v>
          </cell>
          <cell r="AB29">
            <v>1</v>
          </cell>
          <cell r="AC29">
            <v>1.0409462737573885</v>
          </cell>
          <cell r="AD29">
            <v>1.0146738787219995</v>
          </cell>
          <cell r="AE29">
            <v>1</v>
          </cell>
          <cell r="AF29">
            <v>1</v>
          </cell>
          <cell r="AG29">
            <v>1.0163887746385294</v>
          </cell>
          <cell r="AH29">
            <v>1.0414214551320802</v>
          </cell>
          <cell r="AI29">
            <v>1</v>
          </cell>
          <cell r="AJ29">
            <v>1</v>
          </cell>
          <cell r="AK29">
            <v>1.0201964425560073</v>
          </cell>
          <cell r="AL29">
            <v>1.0093810470798976</v>
          </cell>
          <cell r="AM29">
            <v>1.0249728836958854</v>
          </cell>
          <cell r="AN29">
            <v>1.0108601638410164</v>
          </cell>
          <cell r="AO29">
            <v>1.0240642854420736</v>
          </cell>
          <cell r="AP29">
            <v>1.0240642854420736</v>
          </cell>
          <cell r="AQ29">
            <v>1.0240642854420736</v>
          </cell>
          <cell r="AR29">
            <v>1.0166033552320048</v>
          </cell>
          <cell r="AS29">
            <v>1.0095003545393877</v>
          </cell>
          <cell r="AT29">
            <v>1.0100225132862626</v>
          </cell>
          <cell r="AU29">
            <v>1.0002489569672635</v>
          </cell>
          <cell r="AV29">
            <v>1.0017683672528841</v>
          </cell>
          <cell r="AW29">
            <v>1.0115704343507463</v>
          </cell>
          <cell r="AX29">
            <v>1.011191033644778</v>
          </cell>
          <cell r="AY29">
            <v>1.0130128298195094</v>
          </cell>
          <cell r="AZ29">
            <v>1.0363265123914667</v>
          </cell>
          <cell r="BA29">
            <v>1.0033747615100079</v>
          </cell>
          <cell r="BB29">
            <v>1.0039371689765229</v>
          </cell>
          <cell r="BC29">
            <v>1.0113778595677856</v>
          </cell>
          <cell r="BD29">
            <v>1.0134056121376962</v>
          </cell>
          <cell r="BE29">
            <v>1.0180298883237724</v>
          </cell>
          <cell r="BF29">
            <v>1.0257069802923622</v>
          </cell>
          <cell r="BG29">
            <v>1.0310528947846347</v>
          </cell>
          <cell r="BH29">
            <v>1.0297755789647871</v>
          </cell>
          <cell r="BI29">
            <v>1.0299243636210071</v>
          </cell>
          <cell r="BJ29">
            <v>1.0231551117769524</v>
          </cell>
          <cell r="BK29">
            <v>1</v>
          </cell>
          <cell r="BL29">
            <v>1.0177240573168478</v>
          </cell>
          <cell r="BM29">
            <v>1</v>
          </cell>
          <cell r="BN29">
            <v>1.0142778712365423</v>
          </cell>
          <cell r="BO29">
            <v>1.017032834155807</v>
          </cell>
          <cell r="BP29">
            <v>1.0094186732275587</v>
          </cell>
          <cell r="BQ29">
            <v>1.0351542970138623</v>
          </cell>
          <cell r="BR29">
            <v>1.0371204915677184</v>
          </cell>
          <cell r="BS29">
            <v>1.0360969171986429</v>
          </cell>
          <cell r="BT29">
            <v>1.0320086736551934</v>
          </cell>
          <cell r="BU29">
            <v>1.0378170506506237</v>
          </cell>
          <cell r="BV29">
            <v>1</v>
          </cell>
          <cell r="BW29">
            <v>1.0039745919999998</v>
          </cell>
          <cell r="BX29">
            <v>1.000176173723659</v>
          </cell>
          <cell r="BY29">
            <v>1.0082979520000002</v>
          </cell>
          <cell r="BZ29">
            <v>1.0003678065830617</v>
          </cell>
          <cell r="CA29">
            <v>1.008183136</v>
          </cell>
          <cell r="CB29">
            <v>1.0003627173657896</v>
          </cell>
          <cell r="CC29">
            <v>1.0257338392629249</v>
          </cell>
          <cell r="CD29">
            <v>1.0120072291327999</v>
          </cell>
        </row>
        <row r="30">
          <cell r="B30">
            <v>1.0179477100892198</v>
          </cell>
          <cell r="C30">
            <v>1.0376031631749645</v>
          </cell>
          <cell r="D30">
            <v>1.0142431573893211</v>
          </cell>
          <cell r="E30">
            <v>1.0413504961205824</v>
          </cell>
          <cell r="F30">
            <v>1.0423629388022091</v>
          </cell>
          <cell r="G30">
            <v>1.0471980905694875</v>
          </cell>
          <cell r="H30">
            <v>1.0693274584348835</v>
          </cell>
          <cell r="I30">
            <v>1.1008421981443102</v>
          </cell>
          <cell r="J30">
            <v>1</v>
          </cell>
          <cell r="K30">
            <v>1.1008421981443102</v>
          </cell>
          <cell r="L30">
            <v>1.0051928438491153</v>
          </cell>
          <cell r="M30">
            <v>1</v>
          </cell>
          <cell r="N30">
            <v>1.0199005812118678</v>
          </cell>
          <cell r="O30">
            <v>1.0127068520740974</v>
          </cell>
          <cell r="P30">
            <v>1.0130908199044399</v>
          </cell>
          <cell r="Q30">
            <v>1.0394346652881101</v>
          </cell>
          <cell r="R30">
            <v>1</v>
          </cell>
          <cell r="S30">
            <v>1</v>
          </cell>
          <cell r="T30">
            <v>1.0108381084447997</v>
          </cell>
          <cell r="U30">
            <v>1.0376031631749645</v>
          </cell>
          <cell r="V30">
            <v>1.0278221428696477</v>
          </cell>
          <cell r="W30">
            <v>1.0120459703567442</v>
          </cell>
          <cell r="X30">
            <v>1.0419207619541433</v>
          </cell>
          <cell r="Y30">
            <v>1.0419207619541433</v>
          </cell>
          <cell r="Z30">
            <v>1</v>
          </cell>
          <cell r="AA30">
            <v>1</v>
          </cell>
          <cell r="AB30">
            <v>1</v>
          </cell>
          <cell r="AC30">
            <v>1.0248568692589421</v>
          </cell>
          <cell r="AD30">
            <v>1.0179107950842006</v>
          </cell>
          <cell r="AE30">
            <v>1</v>
          </cell>
          <cell r="AF30">
            <v>1</v>
          </cell>
          <cell r="AG30">
            <v>1.0130610898525012</v>
          </cell>
          <cell r="AH30">
            <v>1.0376031631749645</v>
          </cell>
          <cell r="AI30">
            <v>1</v>
          </cell>
          <cell r="AJ30">
            <v>1</v>
          </cell>
          <cell r="AK30">
            <v>1.0161633395555312</v>
          </cell>
          <cell r="AL30">
            <v>1.0093810470798976</v>
          </cell>
          <cell r="AM30">
            <v>1.0249728836958854</v>
          </cell>
          <cell r="AN30">
            <v>1.0108601638410164</v>
          </cell>
          <cell r="AO30">
            <v>1.0240642854420736</v>
          </cell>
          <cell r="AP30">
            <v>1.0240642854420736</v>
          </cell>
          <cell r="AQ30">
            <v>1.0240642854420736</v>
          </cell>
          <cell r="AR30">
            <v>1.0176895906658676</v>
          </cell>
          <cell r="AS30">
            <v>1.0073399502550275</v>
          </cell>
          <cell r="AT30">
            <v>1.0077291116172065</v>
          </cell>
          <cell r="AU30">
            <v>1.0001942088643534</v>
          </cell>
          <cell r="AV30">
            <v>1.001378475103327</v>
          </cell>
          <cell r="AW30">
            <v>1.0137505106100659</v>
          </cell>
          <cell r="AX30">
            <v>1.0103595345067999</v>
          </cell>
          <cell r="AY30">
            <v>1.0120459703567442</v>
          </cell>
          <cell r="AZ30">
            <v>1.0312888267037703</v>
          </cell>
          <cell r="BA30">
            <v>1.000700620039118</v>
          </cell>
          <cell r="BB30">
            <v>1.0035121097689421</v>
          </cell>
          <cell r="BC30">
            <v>1.0096688795814193</v>
          </cell>
          <cell r="BD30">
            <v>1.0115853756154294</v>
          </cell>
          <cell r="BE30">
            <v>1.0129025599380144</v>
          </cell>
          <cell r="BF30">
            <v>1.0173338611877827</v>
          </cell>
          <cell r="BG30">
            <v>1.0219834715135339</v>
          </cell>
          <cell r="BH30">
            <v>1.0204613974881405</v>
          </cell>
          <cell r="BI30">
            <v>1.0195036763794434</v>
          </cell>
          <cell r="BJ30">
            <v>1.0156711963685372</v>
          </cell>
          <cell r="BK30">
            <v>1</v>
          </cell>
          <cell r="BL30">
            <v>1.0125246567484936</v>
          </cell>
          <cell r="BM30">
            <v>1</v>
          </cell>
          <cell r="BN30">
            <v>1.0090050247521571</v>
          </cell>
          <cell r="BO30">
            <v>1.0105509073136052</v>
          </cell>
          <cell r="BP30">
            <v>1.0061633087006248</v>
          </cell>
          <cell r="BQ30">
            <v>1.0236415027293428</v>
          </cell>
          <cell r="BR30">
            <v>1.0262745266527258</v>
          </cell>
          <cell r="BS30">
            <v>1.025755978130398</v>
          </cell>
          <cell r="BT30">
            <v>1.0214437789517428</v>
          </cell>
          <cell r="BU30">
            <v>1.0146618867473076</v>
          </cell>
          <cell r="BV30">
            <v>1</v>
          </cell>
          <cell r="BW30">
            <v>1.0016592235000001</v>
          </cell>
          <cell r="BX30">
            <v>1.0000730169302077</v>
          </cell>
          <cell r="BY30">
            <v>1.0043039589999998</v>
          </cell>
          <cell r="BZ30">
            <v>1.0001894029791161</v>
          </cell>
          <cell r="CA30">
            <v>1.0026067015</v>
          </cell>
          <cell r="CB30">
            <v>1.0001147122985528</v>
          </cell>
          <cell r="CC30">
            <v>1.0171397424815385</v>
          </cell>
          <cell r="CD30">
            <v>1.0084850367049245</v>
          </cell>
        </row>
        <row r="31">
          <cell r="B31">
            <v>1.0141161092314108</v>
          </cell>
          <cell r="C31">
            <v>1.0303776482919567</v>
          </cell>
          <cell r="D31">
            <v>1.0090504174173687</v>
          </cell>
          <cell r="E31">
            <v>1.0328795936478727</v>
          </cell>
          <cell r="F31">
            <v>1.0335624125825238</v>
          </cell>
          <cell r="G31">
            <v>1.0312956778318487</v>
          </cell>
          <cell r="H31">
            <v>1.0477332827867298</v>
          </cell>
          <cell r="I31">
            <v>1.0774785146536501</v>
          </cell>
          <cell r="J31">
            <v>1</v>
          </cell>
          <cell r="K31">
            <v>1.0340784922971</v>
          </cell>
          <cell r="L31">
            <v>1.0055600491451051</v>
          </cell>
          <cell r="M31">
            <v>1</v>
          </cell>
          <cell r="N31">
            <v>1.0199005812118678</v>
          </cell>
          <cell r="O31">
            <v>1.0097900671341058</v>
          </cell>
          <cell r="P31">
            <v>1.0104038170469289</v>
          </cell>
          <cell r="Q31">
            <v>1.0380312347066831</v>
          </cell>
          <cell r="R31">
            <v>1</v>
          </cell>
          <cell r="S31">
            <v>1</v>
          </cell>
          <cell r="T31">
            <v>1.0050681395933259</v>
          </cell>
          <cell r="U31">
            <v>1.0213225393185863</v>
          </cell>
          <cell r="V31">
            <v>1.0232399984183131</v>
          </cell>
          <cell r="W31">
            <v>1.0094649716989961</v>
          </cell>
          <cell r="X31">
            <v>1.0494220343559002</v>
          </cell>
          <cell r="Y31">
            <v>1.0494220343559</v>
          </cell>
          <cell r="Z31">
            <v>1</v>
          </cell>
          <cell r="AA31">
            <v>1</v>
          </cell>
          <cell r="AB31">
            <v>1</v>
          </cell>
          <cell r="AC31">
            <v>1.0526092614194456</v>
          </cell>
          <cell r="AD31">
            <v>1.0102792104274019</v>
          </cell>
          <cell r="AE31">
            <v>1</v>
          </cell>
          <cell r="AF31">
            <v>1</v>
          </cell>
          <cell r="AG31">
            <v>1.0082837429074158</v>
          </cell>
          <cell r="AH31">
            <v>1.0248375694026877</v>
          </cell>
          <cell r="AI31">
            <v>1</v>
          </cell>
          <cell r="AJ31">
            <v>1</v>
          </cell>
          <cell r="AK31">
            <v>1.0071090047393365</v>
          </cell>
          <cell r="AL31">
            <v>1.0093810470798976</v>
          </cell>
          <cell r="AM31">
            <v>1.0249728836958854</v>
          </cell>
          <cell r="AN31">
            <v>1.0108601638410164</v>
          </cell>
          <cell r="AO31">
            <v>1.0240642854420736</v>
          </cell>
          <cell r="AP31">
            <v>1.0127803976899061</v>
          </cell>
          <cell r="AQ31">
            <v>1.0323833390027277</v>
          </cell>
          <cell r="AR31">
            <v>1.0139612562953075</v>
          </cell>
          <cell r="AS31">
            <v>1.0043723855867495</v>
          </cell>
          <cell r="AT31">
            <v>1.0046428784674315</v>
          </cell>
          <cell r="AU31">
            <v>1.0002340780690089</v>
          </cell>
          <cell r="AV31">
            <v>1.0009750885372508</v>
          </cell>
          <cell r="AW31">
            <v>1.0076586470205315</v>
          </cell>
          <cell r="AX31">
            <v>1.0081398756611366</v>
          </cell>
          <cell r="AY31">
            <v>1.0094649716989961</v>
          </cell>
          <cell r="AZ31">
            <v>1.0163571952341306</v>
          </cell>
          <cell r="BA31">
            <v>1.0003326653941962</v>
          </cell>
          <cell r="BB31">
            <v>1.0015540501314204</v>
          </cell>
          <cell r="BC31">
            <v>1.0075372892962584</v>
          </cell>
          <cell r="BD31">
            <v>1.0092864758897215</v>
          </cell>
          <cell r="BE31">
            <v>1.0100214964967715</v>
          </cell>
          <cell r="BF31">
            <v>1.0145706763507996</v>
          </cell>
          <cell r="BG31">
            <v>1.0169487093984408</v>
          </cell>
          <cell r="BH31">
            <v>1.0145883654614078</v>
          </cell>
          <cell r="BI31">
            <v>1.0151313172385599</v>
          </cell>
          <cell r="BJ31">
            <v>1.0124765290742057</v>
          </cell>
          <cell r="BK31">
            <v>1</v>
          </cell>
          <cell r="BL31">
            <v>1.0079832699057636</v>
          </cell>
          <cell r="BM31">
            <v>1</v>
          </cell>
          <cell r="BN31">
            <v>1.0075515804577708</v>
          </cell>
          <cell r="BO31">
            <v>1.0077893637469177</v>
          </cell>
          <cell r="BP31">
            <v>1.0047048637489659</v>
          </cell>
          <cell r="BQ31">
            <v>1.0239544210609997</v>
          </cell>
          <cell r="BR31">
            <v>1.0205643467411825</v>
          </cell>
          <cell r="BS31">
            <v>1.0225684664769394</v>
          </cell>
          <cell r="BT31">
            <v>1.0178870033733507</v>
          </cell>
          <cell r="BU31">
            <v>1.0125958884289032</v>
          </cell>
          <cell r="BV31">
            <v>1</v>
          </cell>
          <cell r="BW31">
            <v>1.0010900434999999</v>
          </cell>
          <cell r="BX31">
            <v>1.0000469520853115</v>
          </cell>
          <cell r="BY31">
            <v>1.0028376173</v>
          </cell>
          <cell r="BZ31">
            <v>1.0001222263602796</v>
          </cell>
          <cell r="CA31">
            <v>1.0020754908</v>
          </cell>
          <cell r="CB31">
            <v>1.0000893988369319</v>
          </cell>
          <cell r="CC31">
            <v>1.0137173752459354</v>
          </cell>
          <cell r="CD31">
            <v>1.00503633168</v>
          </cell>
        </row>
        <row r="32">
          <cell r="B32">
            <v>1.0128632121800478</v>
          </cell>
          <cell r="C32">
            <v>1.0343338721407276</v>
          </cell>
          <cell r="D32">
            <v>1.0090042172723543</v>
          </cell>
          <cell r="E32">
            <v>1.0314027588266439</v>
          </cell>
          <cell r="F32">
            <v>1.0331421773970928</v>
          </cell>
          <cell r="G32">
            <v>1.0253785644000495</v>
          </cell>
          <cell r="H32">
            <v>1.0500714880488315</v>
          </cell>
          <cell r="I32">
            <v>1.058937941706535</v>
          </cell>
          <cell r="J32">
            <v>1</v>
          </cell>
          <cell r="K32">
            <v>1.0254361454105454</v>
          </cell>
          <cell r="L32">
            <v>1.0042230682407749</v>
          </cell>
          <cell r="M32">
            <v>1</v>
          </cell>
          <cell r="N32">
            <v>1.0183007202512222</v>
          </cell>
          <cell r="O32">
            <v>1.0094631915065424</v>
          </cell>
          <cell r="P32">
            <v>1.0105317250344603</v>
          </cell>
          <cell r="Q32">
            <v>1.0310255985146184</v>
          </cell>
          <cell r="R32">
            <v>1</v>
          </cell>
          <cell r="S32">
            <v>1</v>
          </cell>
          <cell r="T32">
            <v>1.0057765041094511</v>
          </cell>
          <cell r="U32">
            <v>1.0200176487009613</v>
          </cell>
          <cell r="V32">
            <v>1.021998992984555</v>
          </cell>
          <cell r="W32">
            <v>1.0091343435496223</v>
          </cell>
          <cell r="X32">
            <v>1.0357612640475522</v>
          </cell>
          <cell r="Y32">
            <v>1.0357612640475526</v>
          </cell>
          <cell r="Z32">
            <v>1</v>
          </cell>
          <cell r="AA32">
            <v>1</v>
          </cell>
          <cell r="AB32">
            <v>1</v>
          </cell>
          <cell r="AC32">
            <v>1.0449899274864234</v>
          </cell>
          <cell r="AD32">
            <v>1.0098181041458174</v>
          </cell>
          <cell r="AE32">
            <v>1</v>
          </cell>
          <cell r="AF32">
            <v>1</v>
          </cell>
          <cell r="AG32">
            <v>1.0071605258702374</v>
          </cell>
          <cell r="AH32">
            <v>1.023639305566761</v>
          </cell>
          <cell r="AI32">
            <v>1</v>
          </cell>
          <cell r="AJ32">
            <v>1</v>
          </cell>
          <cell r="AK32">
            <v>1.0071605258702374</v>
          </cell>
          <cell r="AL32">
            <v>1.0090402612946601</v>
          </cell>
          <cell r="AM32">
            <v>1.0237954289614764</v>
          </cell>
          <cell r="AN32">
            <v>1.0104535700727959</v>
          </cell>
          <cell r="AO32">
            <v>1.0231283191000238</v>
          </cell>
          <cell r="AP32">
            <v>1.0121852049472984</v>
          </cell>
          <cell r="AQ32">
            <v>1.0306079297744422</v>
          </cell>
          <cell r="AR32">
            <v>1.0127062809914513</v>
          </cell>
          <cell r="AS32">
            <v>1.0044678926105421</v>
          </cell>
          <cell r="AT32">
            <v>1.0047551271415305</v>
          </cell>
          <cell r="AU32">
            <v>1.0001794804002329</v>
          </cell>
          <cell r="AV32">
            <v>1.0008728681035819</v>
          </cell>
          <cell r="AW32">
            <v>1.006826527812587</v>
          </cell>
          <cell r="AX32">
            <v>1.0078555354526753</v>
          </cell>
          <cell r="AY32">
            <v>1.0091343435496223</v>
          </cell>
          <cell r="AZ32">
            <v>1.0266190510707061</v>
          </cell>
          <cell r="BA32">
            <v>1.0003633421084845</v>
          </cell>
          <cell r="BB32">
            <v>1.0013075120239054</v>
          </cell>
          <cell r="BC32">
            <v>1.0075712571272735</v>
          </cell>
          <cell r="BD32">
            <v>1.0094859247385384</v>
          </cell>
          <cell r="BE32">
            <v>1.0120672696410482</v>
          </cell>
          <cell r="BF32">
            <v>1.0185612341290042</v>
          </cell>
          <cell r="BG32">
            <v>1.0209443866465719</v>
          </cell>
          <cell r="BH32">
            <v>1.0184893656831038</v>
          </cell>
          <cell r="BI32">
            <v>1.0208131832597169</v>
          </cell>
          <cell r="BJ32">
            <v>1.0169478047773599</v>
          </cell>
          <cell r="BK32">
            <v>1</v>
          </cell>
          <cell r="BL32">
            <v>1.0095033796695452</v>
          </cell>
          <cell r="BM32">
            <v>1</v>
          </cell>
          <cell r="BN32">
            <v>1.0095986676058355</v>
          </cell>
          <cell r="BO32">
            <v>1.0084575725638176</v>
          </cell>
          <cell r="BP32">
            <v>1.0049942217726753</v>
          </cell>
          <cell r="BQ32">
            <v>1.0300321415490921</v>
          </cell>
          <cell r="BR32">
            <v>1.0250491331923504</v>
          </cell>
          <cell r="BS32">
            <v>1.0276566706710084</v>
          </cell>
          <cell r="BT32">
            <v>1.0224774658435793</v>
          </cell>
          <cell r="BU32">
            <v>1.0154930587871105</v>
          </cell>
          <cell r="BV32">
            <v>1</v>
          </cell>
          <cell r="BW32">
            <v>1.0012262384000001</v>
          </cell>
          <cell r="BX32">
            <v>1.0000515354987194</v>
          </cell>
          <cell r="BY32">
            <v>1.0029844735999998</v>
          </cell>
          <cell r="BZ32">
            <v>1.0001254293907214</v>
          </cell>
          <cell r="CA32">
            <v>1.0015781695999999</v>
          </cell>
          <cell r="CB32">
            <v>1.0000663262195997</v>
          </cell>
          <cell r="CC32">
            <v>1.0170880563380738</v>
          </cell>
          <cell r="CD32">
            <v>1.00826915984</v>
          </cell>
        </row>
        <row r="33">
          <cell r="B33">
            <v>1.0131331460693669</v>
          </cell>
          <cell r="C33">
            <v>1.0318880649171791</v>
          </cell>
          <cell r="D33">
            <v>1.0086040679252022</v>
          </cell>
          <cell r="E33">
            <v>1.028442281183374</v>
          </cell>
          <cell r="F33">
            <v>1.0300230810670643</v>
          </cell>
          <cell r="G33">
            <v>1.0236831434102196</v>
          </cell>
          <cell r="H33">
            <v>1.0445021299812327</v>
          </cell>
          <cell r="I33">
            <v>1.0306385010586789</v>
          </cell>
          <cell r="J33">
            <v>1</v>
          </cell>
          <cell r="K33">
            <v>1.0122147357333613</v>
          </cell>
          <cell r="L33">
            <v>1.0048785481234166</v>
          </cell>
          <cell r="M33">
            <v>1</v>
          </cell>
          <cell r="N33">
            <v>1.0172443913489824</v>
          </cell>
          <cell r="O33">
            <v>1.0097097012845087</v>
          </cell>
          <cell r="P33">
            <v>1.01010266248672</v>
          </cell>
          <cell r="Q33">
            <v>1.0314141847153877</v>
          </cell>
          <cell r="R33">
            <v>1</v>
          </cell>
          <cell r="S33">
            <v>1</v>
          </cell>
          <cell r="T33">
            <v>1.0053635305876152</v>
          </cell>
          <cell r="U33">
            <v>1.0189413023612459</v>
          </cell>
          <cell r="V33">
            <v>1.0201083619384685</v>
          </cell>
          <cell r="W33">
            <v>1.0103869040184132</v>
          </cell>
          <cell r="X33">
            <v>1.0312914306326861</v>
          </cell>
          <cell r="Y33">
            <v>1.0312914306326861</v>
          </cell>
          <cell r="Z33">
            <v>1</v>
          </cell>
          <cell r="AA33">
            <v>1</v>
          </cell>
          <cell r="AB33">
            <v>1</v>
          </cell>
          <cell r="AC33">
            <v>1.0338534411625679</v>
          </cell>
          <cell r="AD33">
            <v>1.0103710409093976</v>
          </cell>
          <cell r="AE33">
            <v>1</v>
          </cell>
          <cell r="AF33">
            <v>1</v>
          </cell>
          <cell r="AG33">
            <v>1.007357661350057</v>
          </cell>
          <cell r="AH33">
            <v>1.0226314319822534</v>
          </cell>
          <cell r="AI33">
            <v>1</v>
          </cell>
          <cell r="AJ33">
            <v>1</v>
          </cell>
          <cell r="AK33">
            <v>1.0096111017628602</v>
          </cell>
          <cell r="AL33">
            <v>1.0090863917971999</v>
          </cell>
          <cell r="AM33">
            <v>1.0229054863759199</v>
          </cell>
          <cell r="AN33">
            <v>1.0103283355216768</v>
          </cell>
          <cell r="AO33">
            <v>1.0220382108729424</v>
          </cell>
          <cell r="AP33">
            <v>1.0122423622223009</v>
          </cell>
          <cell r="AQ33">
            <v>1.0286318800494578</v>
          </cell>
          <cell r="AR33">
            <v>1.0129755483165346</v>
          </cell>
          <cell r="AS33">
            <v>1.0044853006094079</v>
          </cell>
          <cell r="AT33">
            <v>1.0047047043415005</v>
          </cell>
          <cell r="AU33">
            <v>1.0001883119575639</v>
          </cell>
          <cell r="AV33">
            <v>1.0008439237568516</v>
          </cell>
          <cell r="AW33">
            <v>1.0068822227474761</v>
          </cell>
          <cell r="AX33">
            <v>1.0089327374558352</v>
          </cell>
          <cell r="AY33">
            <v>1.0103869040184132</v>
          </cell>
          <cell r="AZ33">
            <v>1.0204115503534863</v>
          </cell>
          <cell r="BA33">
            <v>1.0003368297209023</v>
          </cell>
          <cell r="BB33">
            <v>1.0016713705965614</v>
          </cell>
          <cell r="BC33">
            <v>1.0076315512424683</v>
          </cell>
          <cell r="BD33">
            <v>1.0092196897853807</v>
          </cell>
          <cell r="BE33">
            <v>1.0171339847175283</v>
          </cell>
          <cell r="BF33">
            <v>1.0245568313188838</v>
          </cell>
          <cell r="BG33">
            <v>1.0270671421756319</v>
          </cell>
          <cell r="BH33">
            <v>1.0261245404678587</v>
          </cell>
          <cell r="BI33">
            <v>1.0325230022814926</v>
          </cell>
          <cell r="BJ33">
            <v>1.0221656412448812</v>
          </cell>
          <cell r="BK33">
            <v>1</v>
          </cell>
          <cell r="BL33">
            <v>1.0156051221600222</v>
          </cell>
          <cell r="BM33">
            <v>1</v>
          </cell>
          <cell r="BN33">
            <v>1.0130457433769864</v>
          </cell>
          <cell r="BO33">
            <v>1.0114866686177908</v>
          </cell>
          <cell r="BP33">
            <v>1.0073490247293906</v>
          </cell>
          <cell r="BQ33">
            <v>1.0358231286956325</v>
          </cell>
          <cell r="BR33">
            <v>1.0317826390273201</v>
          </cell>
          <cell r="BS33">
            <v>1.0336192663857062</v>
          </cell>
          <cell r="BT33">
            <v>1.0273294994802193</v>
          </cell>
          <cell r="BU33">
            <v>1.01871179504104</v>
          </cell>
          <cell r="BV33">
            <v>1</v>
          </cell>
          <cell r="BW33">
            <v>1.0029409407999998</v>
          </cell>
          <cell r="BX33">
            <v>1.0001226699374879</v>
          </cell>
          <cell r="BY33">
            <v>1.0057255247999999</v>
          </cell>
          <cell r="BZ33">
            <v>1.0002388180575756</v>
          </cell>
          <cell r="CA33">
            <v>1.0038290752000001</v>
          </cell>
          <cell r="CB33">
            <v>1.0001597150188879</v>
          </cell>
          <cell r="CC33">
            <v>1.0213685492540265</v>
          </cell>
          <cell r="CD33">
            <v>1.0313244145716793</v>
          </cell>
        </row>
        <row r="34">
          <cell r="B34">
            <v>1.0100450499804052</v>
          </cell>
          <cell r="C34">
            <v>1.0251490661934026</v>
          </cell>
          <cell r="D34">
            <v>1.0074412572002891</v>
          </cell>
          <cell r="E34">
            <v>1.0224426721911664</v>
          </cell>
          <cell r="F34">
            <v>1.0223793131995198</v>
          </cell>
          <cell r="G34">
            <v>1.0162385486382086</v>
          </cell>
          <cell r="H34">
            <v>1.0372337607214337</v>
          </cell>
          <cell r="I34">
            <v>1.0263209689414279</v>
          </cell>
          <cell r="J34">
            <v>1</v>
          </cell>
          <cell r="K34">
            <v>1.0092240464559032</v>
          </cell>
          <cell r="L34">
            <v>1.0039761129053411</v>
          </cell>
          <cell r="M34">
            <v>1</v>
          </cell>
          <cell r="N34">
            <v>1.0147628465316487</v>
          </cell>
          <cell r="O34">
            <v>1.008000974871416</v>
          </cell>
          <cell r="P34">
            <v>1.0093489296051681</v>
          </cell>
          <cell r="Q34">
            <v>1.0256354958950191</v>
          </cell>
          <cell r="R34">
            <v>1</v>
          </cell>
          <cell r="S34">
            <v>1</v>
          </cell>
          <cell r="T34">
            <v>1.0073306278793981</v>
          </cell>
          <cell r="U34">
            <v>1.0154931612526488</v>
          </cell>
          <cell r="V34">
            <v>1.0187959304025715</v>
          </cell>
          <cell r="W34">
            <v>1.0100550865980658</v>
          </cell>
          <cell r="X34">
            <v>1.0247851125436322</v>
          </cell>
          <cell r="Y34">
            <v>1.0247851125436322</v>
          </cell>
          <cell r="Z34">
            <v>1</v>
          </cell>
          <cell r="AA34">
            <v>1</v>
          </cell>
          <cell r="AB34">
            <v>1</v>
          </cell>
          <cell r="AC34">
            <v>1.0248348598214374</v>
          </cell>
          <cell r="AD34">
            <v>1.0078624090526349</v>
          </cell>
          <cell r="AE34">
            <v>1</v>
          </cell>
          <cell r="AF34">
            <v>1</v>
          </cell>
          <cell r="AG34">
            <v>1.0074430326730259</v>
          </cell>
          <cell r="AH34">
            <v>1.0178788575845357</v>
          </cell>
          <cell r="AI34">
            <v>1</v>
          </cell>
          <cell r="AJ34">
            <v>1</v>
          </cell>
          <cell r="AK34">
            <v>1.0068435733010281</v>
          </cell>
          <cell r="AL34">
            <v>1.0075532333696078</v>
          </cell>
          <cell r="AM34">
            <v>1.0182286580611704</v>
          </cell>
          <cell r="AN34">
            <v>1.0085835366732505</v>
          </cell>
          <cell r="AO34">
            <v>1.0171178942787711</v>
          </cell>
          <cell r="AP34">
            <v>1.0103499857874625</v>
          </cell>
          <cell r="AQ34">
            <v>1.0227428900559616</v>
          </cell>
          <cell r="AR34">
            <v>1.0099265183906363</v>
          </cell>
          <cell r="AS34">
            <v>1.0037727174005464</v>
          </cell>
          <cell r="AT34">
            <v>1.0039661900877541</v>
          </cell>
          <cell r="AU34">
            <v>1.0001471161774977</v>
          </cell>
          <cell r="AV34">
            <v>1.0008098019548253</v>
          </cell>
          <cell r="AW34">
            <v>1.0050170032164862</v>
          </cell>
          <cell r="AX34">
            <v>1.0086473744743365</v>
          </cell>
          <cell r="AY34">
            <v>1.0100550865980658</v>
          </cell>
          <cell r="AZ34">
            <v>1.0175163246037049</v>
          </cell>
          <cell r="BA34">
            <v>1.0004669609959176</v>
          </cell>
          <cell r="BB34">
            <v>1.0010970248001547</v>
          </cell>
          <cell r="BC34">
            <v>1.0072351366214396</v>
          </cell>
          <cell r="BD34">
            <v>1.0086673926369514</v>
          </cell>
          <cell r="BE34">
            <v>1.0178877583245334</v>
          </cell>
          <cell r="BF34">
            <v>1.0254569856804181</v>
          </cell>
          <cell r="BG34">
            <v>1.0279963421187182</v>
          </cell>
          <cell r="BH34">
            <v>1.0270360803698939</v>
          </cell>
          <cell r="BI34">
            <v>1.0334703674412185</v>
          </cell>
          <cell r="BJ34">
            <v>1.0230240719941379</v>
          </cell>
          <cell r="BK34">
            <v>1</v>
          </cell>
          <cell r="BL34">
            <v>1.0163579815322268</v>
          </cell>
          <cell r="BM34">
            <v>1</v>
          </cell>
          <cell r="BN34">
            <v>1.0136320088724362</v>
          </cell>
          <cell r="BO34">
            <v>1.0119968917168241</v>
          </cell>
          <cell r="BP34">
            <v>1.0076885414860139</v>
          </cell>
          <cell r="BQ34">
            <v>1.0368327971293883</v>
          </cell>
          <cell r="BR34">
            <v>1.0327489605224254</v>
          </cell>
          <cell r="BS34">
            <v>1.0345972381045898</v>
          </cell>
          <cell r="BT34">
            <v>1.0282815954442748</v>
          </cell>
          <cell r="BU34">
            <v>1.0192912357841908</v>
          </cell>
          <cell r="BV34">
            <v>1</v>
          </cell>
          <cell r="BW34">
            <v>1.0031179496</v>
          </cell>
          <cell r="BX34">
            <v>1.0001294731089403</v>
          </cell>
          <cell r="BY34">
            <v>1.0060266326</v>
          </cell>
          <cell r="BZ34">
            <v>1.0002502564054159</v>
          </cell>
          <cell r="CA34">
            <v>1.0040454424</v>
          </cell>
          <cell r="CB34">
            <v>1.0001679873223632</v>
          </cell>
          <cell r="CC34">
            <v>1.0221572978261271</v>
          </cell>
          <cell r="CD34">
            <v>1.0322902850584625</v>
          </cell>
        </row>
        <row r="35">
          <cell r="B35">
            <v>1.0043530968329213</v>
          </cell>
          <cell r="C35">
            <v>1.0132596766298443</v>
          </cell>
          <cell r="D35">
            <v>1.003978835365906</v>
          </cell>
          <cell r="E35">
            <v>1.0129817082964567</v>
          </cell>
          <cell r="F35">
            <v>1.0143573410320605</v>
          </cell>
          <cell r="G35">
            <v>1.0096707175963406</v>
          </cell>
          <cell r="H35">
            <v>1.031209810457997</v>
          </cell>
          <cell r="I35">
            <v>1.0327052560276986</v>
          </cell>
          <cell r="J35">
            <v>1</v>
          </cell>
          <cell r="K35">
            <v>1.0093927682817732</v>
          </cell>
          <cell r="L35">
            <v>1.0011343269635844</v>
          </cell>
          <cell r="M35">
            <v>1</v>
          </cell>
          <cell r="N35">
            <v>1.0098301564497254</v>
          </cell>
          <cell r="O35">
            <v>1.0035666027176708</v>
          </cell>
          <cell r="P35">
            <v>1.0040869112276682</v>
          </cell>
          <cell r="Q35">
            <v>1.0132690864846254</v>
          </cell>
          <cell r="R35">
            <v>1</v>
          </cell>
          <cell r="S35">
            <v>1</v>
          </cell>
          <cell r="T35">
            <v>1.001927975000118</v>
          </cell>
          <cell r="U35">
            <v>1.0097730829113976</v>
          </cell>
          <cell r="V35">
            <v>1.0152437161672383</v>
          </cell>
          <cell r="W35">
            <v>1.0051765945394178</v>
          </cell>
          <cell r="X35">
            <v>1.0183905263492747</v>
          </cell>
          <cell r="Y35">
            <v>1.0191471079375998</v>
          </cell>
          <cell r="Z35">
            <v>1</v>
          </cell>
          <cell r="AA35">
            <v>1</v>
          </cell>
          <cell r="AB35">
            <v>1</v>
          </cell>
          <cell r="AC35">
            <v>1.0158382113667712</v>
          </cell>
          <cell r="AD35">
            <v>1.0044614868162658</v>
          </cell>
          <cell r="AE35">
            <v>1</v>
          </cell>
          <cell r="AF35">
            <v>1</v>
          </cell>
          <cell r="AG35">
            <v>1.0024607574442168</v>
          </cell>
          <cell r="AH35">
            <v>1.0104868792498505</v>
          </cell>
          <cell r="AI35">
            <v>1</v>
          </cell>
          <cell r="AJ35">
            <v>1</v>
          </cell>
          <cell r="AK35">
            <v>1.0020783716078772</v>
          </cell>
          <cell r="AL35">
            <v>1.0035358253033335</v>
          </cell>
          <cell r="AM35">
            <v>1.0106415868177023</v>
          </cell>
          <cell r="AN35">
            <v>1.0041976333044689</v>
          </cell>
          <cell r="AO35">
            <v>1.0100001763155317</v>
          </cell>
          <cell r="AP35">
            <v>1.0052276289172897</v>
          </cell>
          <cell r="AQ35">
            <v>1.0145245065344799</v>
          </cell>
          <cell r="AR35">
            <v>1.0042943300256768</v>
          </cell>
          <cell r="AS35">
            <v>1.0019862346146602</v>
          </cell>
          <cell r="AT35">
            <v>1.0020833181975883</v>
          </cell>
          <cell r="AU35">
            <v>1.0000408357706889</v>
          </cell>
          <cell r="AV35">
            <v>1.000277819515452</v>
          </cell>
          <cell r="AW35">
            <v>1.0030324725890158</v>
          </cell>
          <cell r="AX35">
            <v>1.0044518713038992</v>
          </cell>
          <cell r="AY35">
            <v>1.0051765945394178</v>
          </cell>
          <cell r="AZ35">
            <v>1.0099421055370572</v>
          </cell>
          <cell r="BA35">
            <v>1.0001563587725095</v>
          </cell>
          <cell r="BB35">
            <v>1.0003591426138412</v>
          </cell>
          <cell r="BC35">
            <v>1.0030615052006464</v>
          </cell>
          <cell r="BD35">
            <v>1.003771810372015</v>
          </cell>
          <cell r="BE35">
            <v>1.0178877583245336</v>
          </cell>
          <cell r="BF35">
            <v>1.0254569856804179</v>
          </cell>
          <cell r="BG35">
            <v>1.0279963421187184</v>
          </cell>
          <cell r="BH35">
            <v>1.0270360803698941</v>
          </cell>
          <cell r="BI35">
            <v>1.0334703674412182</v>
          </cell>
          <cell r="BJ35">
            <v>1.0230240719941377</v>
          </cell>
          <cell r="BK35">
            <v>1</v>
          </cell>
          <cell r="BL35">
            <v>1.016357981532227</v>
          </cell>
          <cell r="BM35">
            <v>1</v>
          </cell>
          <cell r="BN35">
            <v>1.0136320088724362</v>
          </cell>
          <cell r="BO35">
            <v>1.0119968917168238</v>
          </cell>
          <cell r="BP35">
            <v>1.0076885414860137</v>
          </cell>
          <cell r="BQ35">
            <v>1.0368327971293883</v>
          </cell>
          <cell r="BR35">
            <v>1.0327489605224256</v>
          </cell>
          <cell r="BS35">
            <v>1.0345972381045896</v>
          </cell>
          <cell r="BT35">
            <v>1.0282815954442748</v>
          </cell>
          <cell r="BU35">
            <v>1.0192912357841906</v>
          </cell>
          <cell r="BV35">
            <v>1</v>
          </cell>
          <cell r="BW35">
            <v>1.0031179495999998</v>
          </cell>
          <cell r="BX35">
            <v>1.0001287450915879</v>
          </cell>
          <cell r="BY35">
            <v>1.0060266326</v>
          </cell>
          <cell r="BZ35">
            <v>1.0002488492328592</v>
          </cell>
          <cell r="CA35">
            <v>1.0040454424</v>
          </cell>
          <cell r="CB35">
            <v>1.0001670427425451</v>
          </cell>
          <cell r="CC35">
            <v>1.0221572978261271</v>
          </cell>
          <cell r="CD35">
            <v>1.0322902850584628</v>
          </cell>
        </row>
        <row r="36">
          <cell r="B36">
            <v>1.0055409041653556</v>
          </cell>
          <cell r="C36">
            <v>1.0153586011247777</v>
          </cell>
          <cell r="D36">
            <v>1.0061105298067901</v>
          </cell>
          <cell r="E36">
            <v>1.0176219191605302</v>
          </cell>
          <cell r="F36">
            <v>1.0191116191434786</v>
          </cell>
          <cell r="G36">
            <v>1.0111598195185454</v>
          </cell>
          <cell r="H36">
            <v>1.0392841784911961</v>
          </cell>
          <cell r="I36">
            <v>1.0475656962179742</v>
          </cell>
          <cell r="J36">
            <v>1</v>
          </cell>
          <cell r="K36">
            <v>1.0076388061962507</v>
          </cell>
          <cell r="L36">
            <v>1.0016144098261632</v>
          </cell>
          <cell r="M36">
            <v>1</v>
          </cell>
          <cell r="N36">
            <v>1.0113952155001269</v>
          </cell>
          <cell r="O36">
            <v>1.0044693698094367</v>
          </cell>
          <cell r="P36">
            <v>1.006595512035223</v>
          </cell>
          <cell r="Q36">
            <v>1.014792034245537</v>
          </cell>
          <cell r="R36">
            <v>1</v>
          </cell>
          <cell r="S36">
            <v>1</v>
          </cell>
          <cell r="T36">
            <v>1.0024116849524234</v>
          </cell>
          <cell r="U36">
            <v>1.0118794276921828</v>
          </cell>
          <cell r="V36">
            <v>1.0197593258256017</v>
          </cell>
          <cell r="W36">
            <v>1.0061908079234076</v>
          </cell>
          <cell r="X36">
            <v>1.0231253307014387</v>
          </cell>
          <cell r="Y36">
            <v>1.0247734537353925</v>
          </cell>
          <cell r="Z36">
            <v>1</v>
          </cell>
          <cell r="AA36">
            <v>1</v>
          </cell>
          <cell r="AB36">
            <v>1</v>
          </cell>
          <cell r="AC36">
            <v>1.0219315048963236</v>
          </cell>
          <cell r="AD36">
            <v>1.0052708400871897</v>
          </cell>
          <cell r="AE36">
            <v>1</v>
          </cell>
          <cell r="AF36">
            <v>1</v>
          </cell>
          <cell r="AG36">
            <v>1.0033677215649011</v>
          </cell>
          <cell r="AH36">
            <v>1.0131659061567697</v>
          </cell>
          <cell r="AI36">
            <v>1</v>
          </cell>
          <cell r="AJ36">
            <v>1</v>
          </cell>
          <cell r="AK36">
            <v>1.0033362666388383</v>
          </cell>
          <cell r="AL36">
            <v>1.0044231638463794</v>
          </cell>
          <cell r="AM36">
            <v>1.0133597473350031</v>
          </cell>
          <cell r="AN36">
            <v>1.0052745597315387</v>
          </cell>
          <cell r="AO36">
            <v>1.012915498137603</v>
          </cell>
          <cell r="AP36">
            <v>1.0063429310023653</v>
          </cell>
          <cell r="AQ36">
            <v>1.0181155373898423</v>
          </cell>
          <cell r="AR36">
            <v>1.0054655478687069</v>
          </cell>
          <cell r="AS36">
            <v>1.0030039364530179</v>
          </cell>
          <cell r="AT36">
            <v>1.0031707539167434</v>
          </cell>
          <cell r="AU36">
            <v>1.000069419622525</v>
          </cell>
          <cell r="AV36">
            <v>1.0003967176003454</v>
          </cell>
          <cell r="AW36">
            <v>1.003631081736065</v>
          </cell>
          <cell r="AX36">
            <v>1.0053240948141307</v>
          </cell>
          <cell r="AY36">
            <v>1.0061908079234076</v>
          </cell>
          <cell r="AZ36">
            <v>1.0114544447188591</v>
          </cell>
          <cell r="BA36">
            <v>1.0001512126465171</v>
          </cell>
          <cell r="BB36">
            <v>1.0005891846884187</v>
          </cell>
          <cell r="BC36">
            <v>1.0049308047975327</v>
          </cell>
          <cell r="BD36">
            <v>1.0060817216476792</v>
          </cell>
          <cell r="BE36">
            <v>1.0178877583245332</v>
          </cell>
          <cell r="BF36">
            <v>1.0254569856804179</v>
          </cell>
          <cell r="BG36">
            <v>1.0279963421187182</v>
          </cell>
          <cell r="BH36">
            <v>1.0270360803698937</v>
          </cell>
          <cell r="BI36">
            <v>1.033470367441218</v>
          </cell>
          <cell r="BJ36">
            <v>1.0230240719941381</v>
          </cell>
          <cell r="BK36">
            <v>1</v>
          </cell>
          <cell r="BL36">
            <v>1.0163579815322266</v>
          </cell>
          <cell r="BM36">
            <v>1</v>
          </cell>
          <cell r="BN36">
            <v>1.0136320088724362</v>
          </cell>
          <cell r="BO36">
            <v>1.0119968917168241</v>
          </cell>
          <cell r="BP36">
            <v>1.0076885414860139</v>
          </cell>
          <cell r="BQ36">
            <v>1.0368327971293885</v>
          </cell>
          <cell r="BR36">
            <v>1.0327489605224254</v>
          </cell>
          <cell r="BS36">
            <v>1.0345972381045898</v>
          </cell>
          <cell r="BT36">
            <v>1.028281595444275</v>
          </cell>
          <cell r="BU36">
            <v>1.0192912357841906</v>
          </cell>
          <cell r="BV36">
            <v>1</v>
          </cell>
          <cell r="BW36">
            <v>1.0031179496000002</v>
          </cell>
          <cell r="BX36">
            <v>1.0001275725521888</v>
          </cell>
          <cell r="BY36">
            <v>1.0060266326</v>
          </cell>
          <cell r="BZ36">
            <v>1.0002465828510778</v>
          </cell>
          <cell r="CA36">
            <v>1.0040454423999998</v>
          </cell>
          <cell r="CB36">
            <v>1.00016552140923</v>
          </cell>
          <cell r="CC36">
            <v>1.0221572978261273</v>
          </cell>
          <cell r="CD36">
            <v>1.0322902850584628</v>
          </cell>
        </row>
        <row r="37">
          <cell r="B37">
            <v>1.0093054143145515</v>
          </cell>
          <cell r="C37">
            <v>1.0232477262223207</v>
          </cell>
          <cell r="D37">
            <v>1.0076339489515298</v>
          </cell>
          <cell r="E37">
            <v>1.0225095628962835</v>
          </cell>
          <cell r="F37">
            <v>1.0236607287863231</v>
          </cell>
          <cell r="G37">
            <v>1.0157807116636481</v>
          </cell>
          <cell r="H37">
            <v>1.0419695415528323</v>
          </cell>
          <cell r="I37">
            <v>1.0738931771068616</v>
          </cell>
          <cell r="J37">
            <v>1</v>
          </cell>
          <cell r="K37">
            <v>1.0278999413992234</v>
          </cell>
          <cell r="L37">
            <v>1.0034029689866559</v>
          </cell>
          <cell r="M37">
            <v>1</v>
          </cell>
          <cell r="N37">
            <v>1.0147639493514657</v>
          </cell>
          <cell r="O37">
            <v>1.0072598764075587</v>
          </cell>
          <cell r="P37">
            <v>1.0092353559486646</v>
          </cell>
          <cell r="Q37">
            <v>1.0194975323353597</v>
          </cell>
          <cell r="R37">
            <v>1</v>
          </cell>
          <cell r="S37">
            <v>1</v>
          </cell>
          <cell r="T37">
            <v>1.0033079517619341</v>
          </cell>
          <cell r="U37">
            <v>1.0157619936745423</v>
          </cell>
          <cell r="V37">
            <v>1.0251159397915928</v>
          </cell>
          <cell r="W37">
            <v>1.0079713669465682</v>
          </cell>
          <cell r="X37">
            <v>1.031567276869036</v>
          </cell>
          <cell r="Y37">
            <v>1.0349786783090718</v>
          </cell>
          <cell r="Z37">
            <v>1.0250140189735879</v>
          </cell>
          <cell r="AA37">
            <v>1</v>
          </cell>
          <cell r="AB37">
            <v>1</v>
          </cell>
          <cell r="AC37">
            <v>1.0260501638590676</v>
          </cell>
          <cell r="AD37">
            <v>1.0088308819508267</v>
          </cell>
          <cell r="AE37">
            <v>1</v>
          </cell>
          <cell r="AF37">
            <v>1</v>
          </cell>
          <cell r="AG37">
            <v>1.0034029689866559</v>
          </cell>
          <cell r="AH37">
            <v>1.0181693900636914</v>
          </cell>
          <cell r="AI37">
            <v>1</v>
          </cell>
          <cell r="AJ37">
            <v>1</v>
          </cell>
          <cell r="AK37">
            <v>1.0033079517619341</v>
          </cell>
          <cell r="AL37">
            <v>1.0068290450183093</v>
          </cell>
          <cell r="AM37">
            <v>1.0185563778777209</v>
          </cell>
          <cell r="AN37">
            <v>1.0078232983918232</v>
          </cell>
          <cell r="AO37">
            <v>1.0177217848682569</v>
          </cell>
          <cell r="AP37">
            <v>1.009543228728883</v>
          </cell>
          <cell r="AQ37">
            <v>1.023750769266059</v>
          </cell>
          <cell r="AR37">
            <v>1.0091649025584017</v>
          </cell>
          <cell r="AS37">
            <v>1.0040521001034719</v>
          </cell>
          <cell r="AT37">
            <v>1.0042444756170505</v>
          </cell>
          <cell r="AU37">
            <v>1.0001419038067436</v>
          </cell>
          <cell r="AV37">
            <v>1.0004314964675081</v>
          </cell>
          <cell r="AW37">
            <v>1.0062266548635279</v>
          </cell>
          <cell r="AX37">
            <v>1.0068553755740486</v>
          </cell>
          <cell r="AY37">
            <v>1.0079713669465682</v>
          </cell>
          <cell r="AZ37">
            <v>1.0164733388011364</v>
          </cell>
          <cell r="BA37">
            <v>1.000196823129835</v>
          </cell>
          <cell r="BB37">
            <v>1.0006116402807816</v>
          </cell>
          <cell r="BC37">
            <v>1.0070050174870622</v>
          </cell>
          <cell r="BD37">
            <v>1.0085556337508428</v>
          </cell>
          <cell r="BE37">
            <v>1.0178877583245334</v>
          </cell>
          <cell r="BF37">
            <v>1.0254569856804179</v>
          </cell>
          <cell r="BG37">
            <v>1.0279963421187182</v>
          </cell>
          <cell r="BH37">
            <v>1.0270360803698939</v>
          </cell>
          <cell r="BI37">
            <v>1.0334703674412185</v>
          </cell>
          <cell r="BJ37">
            <v>1.0230240719941379</v>
          </cell>
          <cell r="BK37">
            <v>1</v>
          </cell>
          <cell r="BL37">
            <v>1.0163579815322268</v>
          </cell>
          <cell r="BM37">
            <v>1</v>
          </cell>
          <cell r="BN37">
            <v>1.0136320088724362</v>
          </cell>
          <cell r="BO37">
            <v>1.0119968917168241</v>
          </cell>
          <cell r="BP37">
            <v>1.0076885414860139</v>
          </cell>
          <cell r="BQ37">
            <v>1.0368327971293883</v>
          </cell>
          <cell r="BR37">
            <v>1.0327489605224254</v>
          </cell>
          <cell r="BS37">
            <v>1.0345972381045896</v>
          </cell>
          <cell r="BT37">
            <v>1.028281595444275</v>
          </cell>
          <cell r="BU37">
            <v>1.0192912357841906</v>
          </cell>
          <cell r="BV37">
            <v>1</v>
          </cell>
          <cell r="BW37">
            <v>1.0031179495999998</v>
          </cell>
          <cell r="BX37">
            <v>1.0001262627555987</v>
          </cell>
          <cell r="BY37">
            <v>1.0060266326</v>
          </cell>
          <cell r="BZ37">
            <v>1.0002440511671697</v>
          </cell>
          <cell r="CA37">
            <v>1.0040454424</v>
          </cell>
          <cell r="CB37">
            <v>1.000163821988989</v>
          </cell>
          <cell r="CC37">
            <v>1.0221572978261271</v>
          </cell>
          <cell r="CD37">
            <v>1.0322902850584628</v>
          </cell>
        </row>
        <row r="38">
          <cell r="B38">
            <v>1.009939005041768</v>
          </cell>
          <cell r="C38">
            <v>1.0221396954967445</v>
          </cell>
          <cell r="D38">
            <v>1.0079114687926511</v>
          </cell>
          <cell r="E38">
            <v>1.0217762678119728</v>
          </cell>
          <cell r="F38">
            <v>1.0230520006300117</v>
          </cell>
          <cell r="G38">
            <v>1.0156827490663189</v>
          </cell>
          <cell r="H38">
            <v>1.0430564287372075</v>
          </cell>
          <cell r="I38">
            <v>1.0660015800955831</v>
          </cell>
          <cell r="J38">
            <v>1</v>
          </cell>
          <cell r="K38">
            <v>1.0210764744856746</v>
          </cell>
          <cell r="L38">
            <v>1.002236340043291</v>
          </cell>
          <cell r="M38">
            <v>1</v>
          </cell>
          <cell r="N38">
            <v>1.0164207067594757</v>
          </cell>
          <cell r="O38">
            <v>1.0079114687926511</v>
          </cell>
          <cell r="P38">
            <v>1.0102260837585915</v>
          </cell>
          <cell r="Q38">
            <v>1.018873749836319</v>
          </cell>
          <cell r="R38">
            <v>1</v>
          </cell>
          <cell r="S38">
            <v>1</v>
          </cell>
          <cell r="T38">
            <v>1.0033937281004945</v>
          </cell>
          <cell r="U38">
            <v>1.0167487026783524</v>
          </cell>
          <cell r="V38">
            <v>1.0238761986515921</v>
          </cell>
          <cell r="W38">
            <v>1.0085264779645511</v>
          </cell>
          <cell r="X38">
            <v>1.0322962423411861</v>
          </cell>
          <cell r="Y38">
            <v>1.0376212885815033</v>
          </cell>
          <cell r="Z38">
            <v>1.0240103787708785</v>
          </cell>
          <cell r="AA38">
            <v>1</v>
          </cell>
          <cell r="AB38">
            <v>1</v>
          </cell>
          <cell r="AC38">
            <v>1.027002317432024</v>
          </cell>
          <cell r="AD38">
            <v>1.0095419182531511</v>
          </cell>
          <cell r="AE38">
            <v>1</v>
          </cell>
          <cell r="AF38">
            <v>1</v>
          </cell>
          <cell r="AG38">
            <v>1.0064609507604445</v>
          </cell>
          <cell r="AH38">
            <v>1.0187156418916434</v>
          </cell>
          <cell r="AI38">
            <v>1</v>
          </cell>
          <cell r="AJ38">
            <v>1</v>
          </cell>
          <cell r="AK38">
            <v>1.0052724623651925</v>
          </cell>
          <cell r="AL38">
            <v>1.0076610808388189</v>
          </cell>
          <cell r="AM38">
            <v>1.019250697657774</v>
          </cell>
          <cell r="AN38">
            <v>1.0087394266536911</v>
          </cell>
          <cell r="AO38">
            <v>1.0178445034278998</v>
          </cell>
          <cell r="AP38">
            <v>1.0109298694553988</v>
          </cell>
          <cell r="AQ38">
            <v>1.0243956274720356</v>
          </cell>
          <cell r="AR38">
            <v>1.009837627190342</v>
          </cell>
          <cell r="AS38">
            <v>1.004189913872588</v>
          </cell>
          <cell r="AT38">
            <v>1.004335484898373</v>
          </cell>
          <cell r="AU38">
            <v>1.0000885590657143</v>
          </cell>
          <cell r="AV38">
            <v>1.0008657674018995</v>
          </cell>
          <cell r="AW38">
            <v>1.0058625545747359</v>
          </cell>
          <cell r="AX38">
            <v>1.0073327710495139</v>
          </cell>
          <cell r="AY38">
            <v>1.0085264779645511</v>
          </cell>
          <cell r="AZ38">
            <v>1.0175678483766668</v>
          </cell>
          <cell r="BA38">
            <v>1.0001968362298286</v>
          </cell>
          <cell r="BB38">
            <v>1.0009732965526144</v>
          </cell>
          <cell r="BC38">
            <v>1.007824999292074</v>
          </cell>
          <cell r="BD38">
            <v>1.0095348004965108</v>
          </cell>
          <cell r="BE38">
            <v>1.0178877583245334</v>
          </cell>
          <cell r="BF38">
            <v>1.0254569856804181</v>
          </cell>
          <cell r="BG38">
            <v>1.0279963421187179</v>
          </cell>
          <cell r="BH38">
            <v>1.0270360803698939</v>
          </cell>
          <cell r="BI38">
            <v>1.0334703674412182</v>
          </cell>
          <cell r="BJ38">
            <v>1.0230240719941379</v>
          </cell>
          <cell r="BK38">
            <v>1</v>
          </cell>
          <cell r="BL38">
            <v>1.0163579815322263</v>
          </cell>
          <cell r="BM38">
            <v>1</v>
          </cell>
          <cell r="BN38">
            <v>1.013632008872436</v>
          </cell>
          <cell r="BO38">
            <v>1.0119968917168241</v>
          </cell>
          <cell r="BP38">
            <v>1.0076885414860139</v>
          </cell>
          <cell r="BQ38">
            <v>1.0368327971293883</v>
          </cell>
          <cell r="BR38">
            <v>1.0327489605224254</v>
          </cell>
          <cell r="BS38">
            <v>1.0345972381045898</v>
          </cell>
          <cell r="BT38">
            <v>1.0282815954442748</v>
          </cell>
          <cell r="BU38">
            <v>1.0192912357841903</v>
          </cell>
          <cell r="BV38">
            <v>1</v>
          </cell>
          <cell r="BW38">
            <v>1.0031179496</v>
          </cell>
          <cell r="BX38">
            <v>1.000124965844811</v>
          </cell>
          <cell r="BY38">
            <v>1.0060266326</v>
          </cell>
          <cell r="BZ38">
            <v>1.0002415443900137</v>
          </cell>
          <cell r="CA38">
            <v>1.0040454424</v>
          </cell>
          <cell r="CB38">
            <v>1.0001621392876752</v>
          </cell>
          <cell r="CC38">
            <v>1.0221572978261273</v>
          </cell>
          <cell r="CD38">
            <v>1.0322902850584623</v>
          </cell>
        </row>
        <row r="39">
          <cell r="B39">
            <v>1.0056932919522164</v>
          </cell>
          <cell r="C39">
            <v>1.0154203235506625</v>
          </cell>
          <cell r="D39">
            <v>1.0046771426381695</v>
          </cell>
          <cell r="E39">
            <v>1.0156708631122038</v>
          </cell>
          <cell r="F39">
            <v>1.0178441609043565</v>
          </cell>
          <cell r="G39">
            <v>1.011089328449809</v>
          </cell>
          <cell r="H39">
            <v>1.0442573836979858</v>
          </cell>
          <cell r="I39">
            <v>1.0885189149378935</v>
          </cell>
          <cell r="J39">
            <v>1</v>
          </cell>
          <cell r="K39">
            <v>1.0277842016710386</v>
          </cell>
          <cell r="L39">
            <v>1.0006664583294724</v>
          </cell>
          <cell r="M39">
            <v>1</v>
          </cell>
          <cell r="N39">
            <v>1.0139106946598</v>
          </cell>
          <cell r="O39">
            <v>1.0046771426381695</v>
          </cell>
          <cell r="P39">
            <v>1.0051559632063909</v>
          </cell>
          <cell r="Q39">
            <v>1.0121907562533139</v>
          </cell>
          <cell r="R39">
            <v>1</v>
          </cell>
          <cell r="S39">
            <v>1</v>
          </cell>
          <cell r="T39">
            <v>1.0010342604801585</v>
          </cell>
          <cell r="U39">
            <v>1.0130869409936765</v>
          </cell>
          <cell r="V39">
            <v>1.0184254478542181</v>
          </cell>
          <cell r="W39">
            <v>1.0057274964958178</v>
          </cell>
          <cell r="X39">
            <v>1.0246403052949757</v>
          </cell>
          <cell r="Y39">
            <v>1.0246403052949757</v>
          </cell>
          <cell r="Z39">
            <v>1.0246403052949757</v>
          </cell>
          <cell r="AA39">
            <v>1</v>
          </cell>
          <cell r="AB39">
            <v>1</v>
          </cell>
          <cell r="AC39">
            <v>1.0128840802995509</v>
          </cell>
          <cell r="AD39">
            <v>1.0043364717715084</v>
          </cell>
          <cell r="AE39">
            <v>1</v>
          </cell>
          <cell r="AF39">
            <v>1</v>
          </cell>
          <cell r="AG39">
            <v>1.0006664583294724</v>
          </cell>
          <cell r="AH39">
            <v>1.0130294678002882</v>
          </cell>
          <cell r="AI39">
            <v>1</v>
          </cell>
          <cell r="AJ39">
            <v>1</v>
          </cell>
          <cell r="AK39">
            <v>1.0010342604801585</v>
          </cell>
          <cell r="AL39">
            <v>1.0041683849268253</v>
          </cell>
          <cell r="AM39">
            <v>1.0136078965835951</v>
          </cell>
          <cell r="AN39">
            <v>1.0050037220563841</v>
          </cell>
          <cell r="AO39">
            <v>1.0123409037120448</v>
          </cell>
          <cell r="AP39">
            <v>1.0066959215501372</v>
          </cell>
          <cell r="AQ39">
            <v>1.0190014546088229</v>
          </cell>
          <cell r="AR39">
            <v>1.005633352258803</v>
          </cell>
          <cell r="AS39">
            <v>1.002478370422329</v>
          </cell>
          <cell r="AT39">
            <v>1.002609360340124</v>
          </cell>
          <cell r="AU39">
            <v>1.0000257105222519</v>
          </cell>
          <cell r="AV39">
            <v>1.0000899564789014</v>
          </cell>
          <cell r="AW39">
            <v>1.0030628568887254</v>
          </cell>
          <cell r="AX39">
            <v>1.0049256469864032</v>
          </cell>
          <cell r="AY39">
            <v>1.0057274964958178</v>
          </cell>
          <cell r="AZ39">
            <v>1.0124673716050692</v>
          </cell>
          <cell r="BA39">
            <v>1.0000395967907592</v>
          </cell>
          <cell r="BB39">
            <v>1</v>
          </cell>
          <cell r="BC39">
            <v>1.0039667072753788</v>
          </cell>
          <cell r="BD39">
            <v>1.0048343551872958</v>
          </cell>
          <cell r="BE39">
            <v>1.0178877583245334</v>
          </cell>
          <cell r="BF39">
            <v>1.0254569856804179</v>
          </cell>
          <cell r="BG39">
            <v>1.0279963421187184</v>
          </cell>
          <cell r="BH39">
            <v>1.0270360803698937</v>
          </cell>
          <cell r="BI39">
            <v>1.0334703674412185</v>
          </cell>
          <cell r="BJ39">
            <v>1.0230240719941379</v>
          </cell>
          <cell r="BK39">
            <v>1</v>
          </cell>
          <cell r="BL39">
            <v>1.0163579815322266</v>
          </cell>
          <cell r="BM39">
            <v>1</v>
          </cell>
          <cell r="BN39">
            <v>1.0136320088724362</v>
          </cell>
          <cell r="BO39">
            <v>1.0119968917168241</v>
          </cell>
          <cell r="BP39">
            <v>1.0076885414860137</v>
          </cell>
          <cell r="BQ39">
            <v>1.0368327971293885</v>
          </cell>
          <cell r="BR39">
            <v>1.0327489605224256</v>
          </cell>
          <cell r="BS39">
            <v>1.03459723810459</v>
          </cell>
          <cell r="BT39">
            <v>1.028281595444275</v>
          </cell>
          <cell r="BU39">
            <v>1.0192912357841908</v>
          </cell>
          <cell r="BV39">
            <v>1</v>
          </cell>
          <cell r="BW39">
            <v>1.0031179496</v>
          </cell>
          <cell r="BX39">
            <v>1.0001236817045482</v>
          </cell>
          <cell r="BY39">
            <v>1.0060266326</v>
          </cell>
          <cell r="BZ39">
            <v>1.0002390622967905</v>
          </cell>
          <cell r="CA39">
            <v>1.0040454424</v>
          </cell>
          <cell r="CB39">
            <v>1.0001604731557185</v>
          </cell>
          <cell r="CC39">
            <v>1.0221572978261271</v>
          </cell>
          <cell r="CD39">
            <v>1.0322902850584628</v>
          </cell>
        </row>
        <row r="40">
          <cell r="B40">
            <v>1.0077963902044855</v>
          </cell>
          <cell r="C40">
            <v>1.0217258923822177</v>
          </cell>
          <cell r="D40">
            <v>1.0082183229176296</v>
          </cell>
          <cell r="E40">
            <v>1.0203558081714073</v>
          </cell>
          <cell r="F40">
            <v>1.0204218669423268</v>
          </cell>
          <cell r="G40">
            <v>1.0164371197106643</v>
          </cell>
          <cell r="H40">
            <v>1.0382916105832016</v>
          </cell>
          <cell r="I40">
            <v>1.0764167652032335</v>
          </cell>
          <cell r="J40">
            <v>1</v>
          </cell>
          <cell r="K40">
            <v>1.0266318766794862</v>
          </cell>
          <cell r="L40">
            <v>1.0006851711376596</v>
          </cell>
          <cell r="M40">
            <v>1</v>
          </cell>
          <cell r="N40">
            <v>1.0120339183222928</v>
          </cell>
          <cell r="O40">
            <v>1.0082183229176296</v>
          </cell>
          <cell r="P40">
            <v>1.0069096578237648</v>
          </cell>
          <cell r="Q40">
            <v>1.011980744620685</v>
          </cell>
          <cell r="R40">
            <v>1</v>
          </cell>
          <cell r="S40">
            <v>1</v>
          </cell>
          <cell r="T40">
            <v>1.0009138998745661</v>
          </cell>
          <cell r="U40">
            <v>1.017992448174408</v>
          </cell>
          <cell r="V40">
            <v>1.0208269290159988</v>
          </cell>
          <cell r="W40">
            <v>1.007358679334704</v>
          </cell>
          <cell r="X40">
            <v>1.0366523814853326</v>
          </cell>
          <cell r="Y40">
            <v>1.0366523814853326</v>
          </cell>
          <cell r="Z40">
            <v>1.0366523814853326</v>
          </cell>
          <cell r="AA40">
            <v>1</v>
          </cell>
          <cell r="AB40">
            <v>1</v>
          </cell>
          <cell r="AC40">
            <v>1.0220090880837496</v>
          </cell>
          <cell r="AD40">
            <v>1.0058392767268929</v>
          </cell>
          <cell r="AE40">
            <v>1</v>
          </cell>
          <cell r="AF40">
            <v>1</v>
          </cell>
          <cell r="AG40">
            <v>1.0048351081388678</v>
          </cell>
          <cell r="AH40">
            <v>1.0188042216335278</v>
          </cell>
          <cell r="AI40">
            <v>1</v>
          </cell>
          <cell r="AJ40">
            <v>1</v>
          </cell>
          <cell r="AK40">
            <v>1.0032198468554034</v>
          </cell>
          <cell r="AL40">
            <v>1.0057872820310003</v>
          </cell>
          <cell r="AM40">
            <v>1.0193043075063748</v>
          </cell>
          <cell r="AN40">
            <v>1.0069720791335961</v>
          </cell>
          <cell r="AO40">
            <v>1.0181064883953226</v>
          </cell>
          <cell r="AP40">
            <v>1.0088396882203183</v>
          </cell>
          <cell r="AQ40">
            <v>1.0269619302474937</v>
          </cell>
          <cell r="AR40">
            <v>1.0077288100965385</v>
          </cell>
          <cell r="AS40">
            <v>1.0047050089128255</v>
          </cell>
          <cell r="AT40">
            <v>1.0049298959773445</v>
          </cell>
          <cell r="AU40">
            <v>1.0000236496998014</v>
          </cell>
          <cell r="AV40">
            <v>1.0006854735371986</v>
          </cell>
          <cell r="AW40">
            <v>1.004208107343282</v>
          </cell>
          <cell r="AX40">
            <v>1.0063284642278454</v>
          </cell>
          <cell r="AY40">
            <v>1.007358679334704</v>
          </cell>
          <cell r="AZ40">
            <v>1.0181446089293102</v>
          </cell>
          <cell r="BA40">
            <v>1.0000378114604387</v>
          </cell>
          <cell r="BB40">
            <v>1.0000347976786816</v>
          </cell>
          <cell r="BC40">
            <v>1.0052748085967353</v>
          </cell>
          <cell r="BD40">
            <v>1.0064189879511953</v>
          </cell>
          <cell r="BE40">
            <v>1.0178877583245334</v>
          </cell>
          <cell r="BF40">
            <v>1.0254569856804179</v>
          </cell>
          <cell r="BG40">
            <v>1.0279963421187182</v>
          </cell>
          <cell r="BH40">
            <v>1.0270360803698939</v>
          </cell>
          <cell r="BI40">
            <v>1.0334703674412185</v>
          </cell>
          <cell r="BJ40">
            <v>1.0230240719941377</v>
          </cell>
          <cell r="BK40">
            <v>1</v>
          </cell>
          <cell r="BL40">
            <v>1.0163579815322266</v>
          </cell>
          <cell r="BM40">
            <v>1</v>
          </cell>
          <cell r="BN40">
            <v>1.0136320088724362</v>
          </cell>
          <cell r="BO40">
            <v>1.0119968917168241</v>
          </cell>
          <cell r="BP40">
            <v>1.0076885414860137</v>
          </cell>
          <cell r="BQ40">
            <v>1.036832797129388</v>
          </cell>
          <cell r="BR40">
            <v>1.0327489605224256</v>
          </cell>
          <cell r="BS40">
            <v>1.0345972381045896</v>
          </cell>
          <cell r="BT40">
            <v>1.0282815954442748</v>
          </cell>
          <cell r="BU40">
            <v>1.0192912357841906</v>
          </cell>
          <cell r="BV40">
            <v>1</v>
          </cell>
          <cell r="BW40">
            <v>1.0031179495999998</v>
          </cell>
          <cell r="BX40">
            <v>1.0001224102203272</v>
          </cell>
          <cell r="BY40">
            <v>1.0060266326</v>
          </cell>
          <cell r="BZ40">
            <v>1.0002366046662197</v>
          </cell>
          <cell r="CA40">
            <v>1.0040454424</v>
          </cell>
          <cell r="CB40">
            <v>1.000158823444582</v>
          </cell>
          <cell r="CC40">
            <v>1.0221572978261271</v>
          </cell>
          <cell r="CD40">
            <v>1.0322902850584625</v>
          </cell>
        </row>
        <row r="41">
          <cell r="B41">
            <v>1.0124458325393713</v>
          </cell>
          <cell r="C41">
            <v>1.0341243720838371</v>
          </cell>
          <cell r="D41">
            <v>1.0106885233841867</v>
          </cell>
          <cell r="E41">
            <v>1.0304235418314251</v>
          </cell>
          <cell r="F41">
            <v>1.0310896293202338</v>
          </cell>
          <cell r="G41">
            <v>1.0262696640982587</v>
          </cell>
          <cell r="H41">
            <v>1.0607890033089793</v>
          </cell>
          <cell r="I41">
            <v>1.1044546753167526</v>
          </cell>
          <cell r="J41">
            <v>1</v>
          </cell>
          <cell r="K41">
            <v>1.0309181260644755</v>
          </cell>
          <cell r="L41">
            <v>1.0010658406892043</v>
          </cell>
          <cell r="M41">
            <v>1</v>
          </cell>
          <cell r="N41">
            <v>1.0182262378753302</v>
          </cell>
          <cell r="O41">
            <v>1.0106885233841867</v>
          </cell>
          <cell r="P41">
            <v>1.0129523755769796</v>
          </cell>
          <cell r="Q41">
            <v>1.0247136885030004</v>
          </cell>
          <cell r="R41">
            <v>1</v>
          </cell>
          <cell r="S41">
            <v>1</v>
          </cell>
          <cell r="T41">
            <v>1.0027724167030991</v>
          </cell>
          <cell r="U41">
            <v>1.0218392777163798</v>
          </cell>
          <cell r="V41">
            <v>1.0336936859865073</v>
          </cell>
          <cell r="W41">
            <v>1.0124404593827083</v>
          </cell>
          <cell r="X41">
            <v>1.0512370507292574</v>
          </cell>
          <cell r="Y41">
            <v>1.0512370507292574</v>
          </cell>
          <cell r="Z41">
            <v>1.0512370507292574</v>
          </cell>
          <cell r="AA41">
            <v>1</v>
          </cell>
          <cell r="AB41">
            <v>1</v>
          </cell>
          <cell r="AC41">
            <v>1.0333737209614844</v>
          </cell>
          <cell r="AD41">
            <v>1.0100189157804662</v>
          </cell>
          <cell r="AE41">
            <v>1</v>
          </cell>
          <cell r="AF41">
            <v>1</v>
          </cell>
          <cell r="AG41">
            <v>1.0072933342920563</v>
          </cell>
          <cell r="AH41">
            <v>1.0297586207202454</v>
          </cell>
          <cell r="AI41">
            <v>1</v>
          </cell>
          <cell r="AJ41">
            <v>1</v>
          </cell>
          <cell r="AK41">
            <v>1.0045975921723214</v>
          </cell>
          <cell r="AL41">
            <v>1.0111752648740246</v>
          </cell>
          <cell r="AM41">
            <v>1.0297586207202454</v>
          </cell>
          <cell r="AN41">
            <v>1.0106200907161318</v>
          </cell>
          <cell r="AO41">
            <v>1.0284608179664045</v>
          </cell>
          <cell r="AP41">
            <v>1.0143701515402834</v>
          </cell>
          <cell r="AQ41">
            <v>1.0397910058849458</v>
          </cell>
          <cell r="AR41">
            <v>1.0123514967345253</v>
          </cell>
          <cell r="AS41">
            <v>1.0064332057041421</v>
          </cell>
          <cell r="AT41">
            <v>1.0066574309298044</v>
          </cell>
          <cell r="AU41">
            <v>1.0001450768864775</v>
          </cell>
          <cell r="AV41">
            <v>1.001395496311233</v>
          </cell>
          <cell r="AW41">
            <v>1.0076883927299771</v>
          </cell>
          <cell r="AX41">
            <v>1.0106987950691293</v>
          </cell>
          <cell r="AY41">
            <v>1.0124404593827083</v>
          </cell>
          <cell r="AZ41">
            <v>1.029251441166148</v>
          </cell>
          <cell r="BA41">
            <v>1.0001042426712885</v>
          </cell>
          <cell r="BB41">
            <v>1.0000341423962353</v>
          </cell>
          <cell r="BC41">
            <v>1.0109351416721506</v>
          </cell>
          <cell r="BD41">
            <v>1.0120856785051828</v>
          </cell>
          <cell r="BE41">
            <v>1.0178877583245334</v>
          </cell>
          <cell r="BF41">
            <v>1.0254569856804179</v>
          </cell>
          <cell r="BG41">
            <v>1.0279963421187182</v>
          </cell>
          <cell r="BH41">
            <v>1.0270360803698939</v>
          </cell>
          <cell r="BI41">
            <v>1.0334703674412185</v>
          </cell>
          <cell r="BJ41">
            <v>1.0230240719941379</v>
          </cell>
          <cell r="BK41">
            <v>1</v>
          </cell>
          <cell r="BL41">
            <v>1.0163579815322268</v>
          </cell>
          <cell r="BM41">
            <v>1</v>
          </cell>
          <cell r="BN41">
            <v>1.0136320088724362</v>
          </cell>
          <cell r="BO41">
            <v>1.0119968917168238</v>
          </cell>
          <cell r="BP41">
            <v>1.0076885414860139</v>
          </cell>
          <cell r="BQ41">
            <v>1.0368327971293883</v>
          </cell>
          <cell r="BR41">
            <v>1.0327489605224256</v>
          </cell>
          <cell r="BS41">
            <v>1.0345972381045894</v>
          </cell>
          <cell r="BT41">
            <v>1.0282815954442746</v>
          </cell>
          <cell r="BU41">
            <v>1.0192912357841906</v>
          </cell>
          <cell r="BV41">
            <v>1</v>
          </cell>
          <cell r="BW41">
            <v>1.0031179496</v>
          </cell>
          <cell r="BX41">
            <v>1.0001211512784616</v>
          </cell>
          <cell r="BY41">
            <v>1.0060266326000002</v>
          </cell>
          <cell r="BZ41">
            <v>1.000234171278557</v>
          </cell>
          <cell r="CA41">
            <v>1.0040454424000003</v>
          </cell>
          <cell r="CB41">
            <v>1.0001571900067603</v>
          </cell>
          <cell r="CC41">
            <v>1.0221572978261269</v>
          </cell>
          <cell r="CD41">
            <v>1.0322902850584623</v>
          </cell>
        </row>
        <row r="42">
          <cell r="B42">
            <v>1.0203013195350632</v>
          </cell>
          <cell r="C42">
            <v>1.0403954202061403</v>
          </cell>
          <cell r="D42">
            <v>1.0169470463699202</v>
          </cell>
          <cell r="E42">
            <v>1.0368883347640698</v>
          </cell>
          <cell r="F42">
            <v>1.0408915072065188</v>
          </cell>
          <cell r="G42">
            <v>1.0309704779620341</v>
          </cell>
          <cell r="H42">
            <v>1.0618988592454814</v>
          </cell>
          <cell r="I42">
            <v>1.1028343305760322</v>
          </cell>
          <cell r="J42">
            <v>1</v>
          </cell>
          <cell r="K42">
            <v>1.048773728172762</v>
          </cell>
          <cell r="L42">
            <v>1.0022314345284844</v>
          </cell>
          <cell r="M42">
            <v>1</v>
          </cell>
          <cell r="N42">
            <v>1.0300574301535739</v>
          </cell>
          <cell r="O42">
            <v>1.0169470463699202</v>
          </cell>
          <cell r="P42">
            <v>1.0160585058260552</v>
          </cell>
          <cell r="Q42">
            <v>1.0351455529252793</v>
          </cell>
          <cell r="R42">
            <v>1</v>
          </cell>
          <cell r="S42">
            <v>1</v>
          </cell>
          <cell r="T42">
            <v>1.0057248585600138</v>
          </cell>
          <cell r="U42">
            <v>1.0587866635648926</v>
          </cell>
          <cell r="V42">
            <v>1.0405252345539229</v>
          </cell>
          <cell r="W42">
            <v>1.014218670001547</v>
          </cell>
          <cell r="X42">
            <v>1.0639613403079973</v>
          </cell>
          <cell r="Y42">
            <v>1.0639613403079973</v>
          </cell>
          <cell r="Z42">
            <v>1.0639613403079973</v>
          </cell>
          <cell r="AA42">
            <v>1</v>
          </cell>
          <cell r="AB42">
            <v>1</v>
          </cell>
          <cell r="AC42">
            <v>1.0451964609750783</v>
          </cell>
          <cell r="AD42">
            <v>1.01524737466107</v>
          </cell>
          <cell r="AE42">
            <v>1</v>
          </cell>
          <cell r="AF42">
            <v>1</v>
          </cell>
          <cell r="AG42">
            <v>1.0118182689446753</v>
          </cell>
          <cell r="AH42">
            <v>1.0362346737332835</v>
          </cell>
          <cell r="AI42">
            <v>1</v>
          </cell>
          <cell r="AJ42">
            <v>1</v>
          </cell>
          <cell r="AK42">
            <v>1.0113980329378374</v>
          </cell>
          <cell r="AL42">
            <v>1.0152939885995529</v>
          </cell>
          <cell r="AM42">
            <v>1.0362346737332835</v>
          </cell>
          <cell r="AN42">
            <v>1.017692655873474</v>
          </cell>
          <cell r="AO42">
            <v>1.0370627661649039</v>
          </cell>
          <cell r="AP42">
            <v>1.0181793718240455</v>
          </cell>
          <cell r="AQ42">
            <v>1.0471134210092823</v>
          </cell>
          <cell r="AR42">
            <v>1.0201518159684162</v>
          </cell>
          <cell r="AS42">
            <v>1.0098726259295083</v>
          </cell>
          <cell r="AT42">
            <v>1.0102356294088977</v>
          </cell>
          <cell r="AU42">
            <v>1.0002280851090533</v>
          </cell>
          <cell r="AV42">
            <v>1.0021780572719901</v>
          </cell>
          <cell r="AW42">
            <v>1.0110990954010453</v>
          </cell>
          <cell r="AX42">
            <v>1.0122280562013304</v>
          </cell>
          <cell r="AY42">
            <v>1.014218670001547</v>
          </cell>
          <cell r="AZ42">
            <v>1.0335077938373223</v>
          </cell>
          <cell r="BA42">
            <v>1.0002428398949605</v>
          </cell>
          <cell r="BB42">
            <v>1.0000397889367223</v>
          </cell>
          <cell r="BC42">
            <v>1.0132318148868589</v>
          </cell>
          <cell r="BD42">
            <v>1.0150835372403053</v>
          </cell>
          <cell r="BE42">
            <v>1.0178877583245334</v>
          </cell>
          <cell r="BF42">
            <v>1.0254569856804179</v>
          </cell>
          <cell r="BG42">
            <v>1.0279963421187184</v>
          </cell>
          <cell r="BH42">
            <v>1.0270360803698939</v>
          </cell>
          <cell r="BI42">
            <v>1.0334703674412187</v>
          </cell>
          <cell r="BJ42">
            <v>1.0230240719941379</v>
          </cell>
          <cell r="BK42">
            <v>1</v>
          </cell>
          <cell r="BL42">
            <v>1.0163579815322268</v>
          </cell>
          <cell r="BM42">
            <v>1</v>
          </cell>
          <cell r="BN42">
            <v>1.0136320088724362</v>
          </cell>
          <cell r="BO42">
            <v>1.0119968917168241</v>
          </cell>
          <cell r="BP42">
            <v>1.0076885414860137</v>
          </cell>
          <cell r="BQ42">
            <v>1.0368327971293883</v>
          </cell>
          <cell r="BR42">
            <v>1.0327489605224254</v>
          </cell>
          <cell r="BS42">
            <v>1.0345972381045896</v>
          </cell>
          <cell r="BT42">
            <v>1.0282815954442748</v>
          </cell>
          <cell r="BU42">
            <v>1.0192912357841903</v>
          </cell>
          <cell r="BV42">
            <v>1</v>
          </cell>
          <cell r="BW42">
            <v>1.0031179496</v>
          </cell>
          <cell r="BX42">
            <v>1.0001199047660581</v>
          </cell>
          <cell r="BY42">
            <v>1.0060266326</v>
          </cell>
          <cell r="BZ42">
            <v>1.0002317619155938</v>
          </cell>
          <cell r="CA42">
            <v>1.0040454424</v>
          </cell>
          <cell r="CB42">
            <v>1.0001555726957785</v>
          </cell>
          <cell r="CC42">
            <v>1.0221572978261273</v>
          </cell>
          <cell r="CD42">
            <v>1.0322902850584628</v>
          </cell>
        </row>
        <row r="43">
          <cell r="B43">
            <v>1.0185233141101804</v>
          </cell>
          <cell r="C43">
            <v>1.0407533686626795</v>
          </cell>
          <cell r="D43">
            <v>1.016684847548581</v>
          </cell>
          <cell r="E43">
            <v>1.0369580761910047</v>
          </cell>
          <cell r="F43">
            <v>1.0403772509867362</v>
          </cell>
          <cell r="G43">
            <v>1.0310508175048068</v>
          </cell>
          <cell r="H43">
            <v>1.0580597732983736</v>
          </cell>
          <cell r="I43">
            <v>1.1014434705104492</v>
          </cell>
          <cell r="J43">
            <v>1</v>
          </cell>
          <cell r="K43">
            <v>1.0490759485241599</v>
          </cell>
          <cell r="L43">
            <v>1.0026291894431802</v>
          </cell>
          <cell r="M43">
            <v>1</v>
          </cell>
          <cell r="N43">
            <v>1.0289346641048258</v>
          </cell>
          <cell r="O43">
            <v>1.016684847548581</v>
          </cell>
          <cell r="P43">
            <v>1.0251853414868575</v>
          </cell>
          <cell r="Q43">
            <v>1.0356346485620533</v>
          </cell>
          <cell r="R43">
            <v>1</v>
          </cell>
          <cell r="S43">
            <v>1</v>
          </cell>
          <cell r="T43">
            <v>1.0035482681871801</v>
          </cell>
          <cell r="U43">
            <v>1.0561127966065191</v>
          </cell>
          <cell r="V43">
            <v>1.0411435425923534</v>
          </cell>
          <cell r="W43">
            <v>1.0151163834708223</v>
          </cell>
          <cell r="X43">
            <v>1.0613262779773194</v>
          </cell>
          <cell r="Y43">
            <v>1.0613262779773194</v>
          </cell>
          <cell r="Z43">
            <v>1.0613262779773194</v>
          </cell>
          <cell r="AA43">
            <v>1</v>
          </cell>
          <cell r="AB43">
            <v>1</v>
          </cell>
          <cell r="AC43">
            <v>1.0455442977610963</v>
          </cell>
          <cell r="AD43">
            <v>1.0154872367298571</v>
          </cell>
          <cell r="AE43">
            <v>1</v>
          </cell>
          <cell r="AF43">
            <v>1</v>
          </cell>
          <cell r="AG43">
            <v>1.0107847525010472</v>
          </cell>
          <cell r="AH43">
            <v>1.0364265778367776</v>
          </cell>
          <cell r="AI43">
            <v>1</v>
          </cell>
          <cell r="AJ43">
            <v>1</v>
          </cell>
          <cell r="AK43">
            <v>1.0027892408326697</v>
          </cell>
          <cell r="AL43">
            <v>1.0171287813869643</v>
          </cell>
          <cell r="AM43">
            <v>1.0364265778367776</v>
          </cell>
          <cell r="AN43">
            <v>1.0179912568865257</v>
          </cell>
          <cell r="AO43">
            <v>1.0373440262398899</v>
          </cell>
          <cell r="AP43">
            <v>1.0189543958472438</v>
          </cell>
          <cell r="AQ43">
            <v>1.0465400507753491</v>
          </cell>
          <cell r="AR43">
            <v>1.0183998451995786</v>
          </cell>
          <cell r="AS43">
            <v>1.0101934063581959</v>
          </cell>
          <cell r="AT43">
            <v>1.0105345773077554</v>
          </cell>
          <cell r="AU43">
            <v>1.0003318189160759</v>
          </cell>
          <cell r="AV43">
            <v>1.0022704798893902</v>
          </cell>
          <cell r="AW43">
            <v>1.0119877466398346</v>
          </cell>
          <cell r="AX43">
            <v>1.0130000897849072</v>
          </cell>
          <cell r="AY43">
            <v>1.0151163834708223</v>
          </cell>
          <cell r="AZ43">
            <v>1.0343709268922865</v>
          </cell>
          <cell r="BA43">
            <v>1.0005596201923666</v>
          </cell>
          <cell r="BB43">
            <v>1.0006306330558472</v>
          </cell>
          <cell r="BC43">
            <v>1.0194781370046011</v>
          </cell>
          <cell r="BD43">
            <v>1.0199168517888211</v>
          </cell>
          <cell r="BE43">
            <v>1.0178877583245336</v>
          </cell>
          <cell r="BF43">
            <v>1.0254569856804179</v>
          </cell>
          <cell r="BG43">
            <v>1.0279963421187184</v>
          </cell>
          <cell r="BH43">
            <v>1.0270360803698939</v>
          </cell>
          <cell r="BI43">
            <v>1.0334703674412182</v>
          </cell>
          <cell r="BJ43">
            <v>1.0230240719941381</v>
          </cell>
          <cell r="BK43">
            <v>1</v>
          </cell>
          <cell r="BL43">
            <v>1.0163579815322268</v>
          </cell>
          <cell r="BM43">
            <v>1</v>
          </cell>
          <cell r="BN43">
            <v>1.0136320088724362</v>
          </cell>
          <cell r="BO43">
            <v>1.0119968917168243</v>
          </cell>
          <cell r="BP43">
            <v>1.0076885414860139</v>
          </cell>
          <cell r="BQ43">
            <v>1.0368327971293885</v>
          </cell>
          <cell r="BR43">
            <v>1.0327489605224258</v>
          </cell>
          <cell r="BS43">
            <v>1.0345972381045898</v>
          </cell>
          <cell r="BT43">
            <v>1.0282815954442748</v>
          </cell>
          <cell r="BU43">
            <v>1.0192912357841906</v>
          </cell>
          <cell r="BV43">
            <v>1</v>
          </cell>
          <cell r="BW43">
            <v>1.0031179496</v>
          </cell>
          <cell r="BX43">
            <v>1.0001186705710179</v>
          </cell>
          <cell r="BY43">
            <v>1.0060266326</v>
          </cell>
          <cell r="BZ43">
            <v>1.0002293763606562</v>
          </cell>
          <cell r="CA43">
            <v>1.0040454424</v>
          </cell>
          <cell r="CB43">
            <v>1.0001539713661916</v>
          </cell>
          <cell r="CC43">
            <v>1.0221572978261269</v>
          </cell>
          <cell r="CD43">
            <v>1.0322902850584628</v>
          </cell>
        </row>
        <row r="44">
          <cell r="B44">
            <v>1.0187914436104786</v>
          </cell>
          <cell r="C44">
            <v>1.0369126925078846</v>
          </cell>
          <cell r="D44">
            <v>1.013622020363999</v>
          </cell>
          <cell r="E44">
            <v>1.0336167842133699</v>
          </cell>
          <cell r="F44">
            <v>1.0342555887804348</v>
          </cell>
          <cell r="G44">
            <v>1.0329762589541387</v>
          </cell>
          <cell r="H44">
            <v>1.0446136204643723</v>
          </cell>
          <cell r="I44">
            <v>1.0835450191962532</v>
          </cell>
          <cell r="J44">
            <v>1</v>
          </cell>
          <cell r="K44">
            <v>1.0443242324272719</v>
          </cell>
          <cell r="L44">
            <v>1.0020870939677351</v>
          </cell>
          <cell r="M44">
            <v>1</v>
          </cell>
          <cell r="N44">
            <v>1.0242551383608742</v>
          </cell>
          <cell r="O44">
            <v>1.013622020363999</v>
          </cell>
          <cell r="P44">
            <v>1.0177661637460418</v>
          </cell>
          <cell r="Q44">
            <v>1.0361441873371209</v>
          </cell>
          <cell r="R44">
            <v>1</v>
          </cell>
          <cell r="S44">
            <v>1</v>
          </cell>
          <cell r="T44">
            <v>1.0038355105797772</v>
          </cell>
          <cell r="U44">
            <v>1.0216182136488388</v>
          </cell>
          <cell r="V44">
            <v>1.0353665775123002</v>
          </cell>
          <cell r="W44">
            <v>1.0126686989710136</v>
          </cell>
          <cell r="X44">
            <v>1.0484787048304181</v>
          </cell>
          <cell r="Y44">
            <v>1.0484787048304181</v>
          </cell>
          <cell r="Z44">
            <v>1.0484787048304181</v>
          </cell>
          <cell r="AA44">
            <v>1</v>
          </cell>
          <cell r="AB44">
            <v>1</v>
          </cell>
          <cell r="AC44">
            <v>1.0391600925957458</v>
          </cell>
          <cell r="AD44">
            <v>1.0143513330267215</v>
          </cell>
          <cell r="AE44">
            <v>1</v>
          </cell>
          <cell r="AF44">
            <v>1</v>
          </cell>
          <cell r="AG44">
            <v>1.0083951886526048</v>
          </cell>
          <cell r="AH44">
            <v>1.0311436357266413</v>
          </cell>
          <cell r="AI44">
            <v>1</v>
          </cell>
          <cell r="AJ44">
            <v>1</v>
          </cell>
          <cell r="AK44">
            <v>1.0030196801104592</v>
          </cell>
          <cell r="AL44">
            <v>1.0175379912285445</v>
          </cell>
          <cell r="AM44">
            <v>1.0311436357266413</v>
          </cell>
          <cell r="AN44">
            <v>1.0150556189148114</v>
          </cell>
          <cell r="AO44">
            <v>1.0323127731087061</v>
          </cell>
          <cell r="AP44">
            <v>1.0184512285922018</v>
          </cell>
          <cell r="AQ44">
            <v>1.0415795097109488</v>
          </cell>
          <cell r="AR44">
            <v>1.0186716919289813</v>
          </cell>
          <cell r="AS44">
            <v>1.0069014134586203</v>
          </cell>
          <cell r="AT44">
            <v>1.0075062383902036</v>
          </cell>
          <cell r="AU44">
            <v>1.000144364310567</v>
          </cell>
          <cell r="AV44">
            <v>1.0005953095000388</v>
          </cell>
          <cell r="AW44">
            <v>1.0108390469548827</v>
          </cell>
          <cell r="AX44">
            <v>1.0108950811150716</v>
          </cell>
          <cell r="AY44">
            <v>1.0126686989710136</v>
          </cell>
          <cell r="AZ44">
            <v>1.0314254075509091</v>
          </cell>
          <cell r="BA44">
            <v>1.0001671169461377</v>
          </cell>
          <cell r="BB44">
            <v>0.99990149635412384</v>
          </cell>
          <cell r="BC44">
            <v>1.0107328083011859</v>
          </cell>
          <cell r="BD44">
            <v>1.0145352716056351</v>
          </cell>
          <cell r="BE44">
            <v>1.0178877583245336</v>
          </cell>
          <cell r="BF44">
            <v>1.0254569856804179</v>
          </cell>
          <cell r="BG44">
            <v>1.0279963421187182</v>
          </cell>
          <cell r="BH44">
            <v>1.0270360803698939</v>
          </cell>
          <cell r="BI44">
            <v>1.0334703674412182</v>
          </cell>
          <cell r="BJ44">
            <v>1.0230240719941379</v>
          </cell>
          <cell r="BK44">
            <v>1</v>
          </cell>
          <cell r="BL44">
            <v>1.0163579815322266</v>
          </cell>
          <cell r="BM44">
            <v>1</v>
          </cell>
          <cell r="BN44">
            <v>1.0136320088724364</v>
          </cell>
          <cell r="BO44">
            <v>1.0119968917168241</v>
          </cell>
          <cell r="BP44">
            <v>1.0076885414860139</v>
          </cell>
          <cell r="BQ44">
            <v>1.0368327971293883</v>
          </cell>
          <cell r="BR44">
            <v>1.0327489605224254</v>
          </cell>
          <cell r="BS44">
            <v>1.0345972381045898</v>
          </cell>
          <cell r="BT44">
            <v>1.0282815954442748</v>
          </cell>
          <cell r="BU44">
            <v>1.0192912357841908</v>
          </cell>
          <cell r="BV44">
            <v>1</v>
          </cell>
          <cell r="BW44">
            <v>1.0031179496000002</v>
          </cell>
          <cell r="BX44">
            <v>1.0001174485820357</v>
          </cell>
          <cell r="BY44">
            <v>1.0060266326</v>
          </cell>
          <cell r="BZ44">
            <v>1.0002270143986034</v>
          </cell>
          <cell r="CA44">
            <v>1.0040454424</v>
          </cell>
          <cell r="CB44">
            <v>1.0001523858735839</v>
          </cell>
          <cell r="CC44">
            <v>1.0221572978261269</v>
          </cell>
          <cell r="CD44">
            <v>1.0322902850584628</v>
          </cell>
        </row>
        <row r="45">
          <cell r="B45">
            <v>1.0162173266372136</v>
          </cell>
          <cell r="C45">
            <v>1.0298507452162273</v>
          </cell>
          <cell r="D45">
            <v>1.012346478107363</v>
          </cell>
          <cell r="E45">
            <v>1.0296221230784481</v>
          </cell>
          <cell r="F45">
            <v>1.0288376896146183</v>
          </cell>
          <cell r="G45">
            <v>1.0273335030425792</v>
          </cell>
          <cell r="H45">
            <v>1.0385131561526941</v>
          </cell>
          <cell r="I45">
            <v>1.0693540906558721</v>
          </cell>
          <cell r="J45">
            <v>1</v>
          </cell>
          <cell r="K45">
            <v>1.035884281171203</v>
          </cell>
          <cell r="L45">
            <v>1.0018049259955744</v>
          </cell>
          <cell r="M45">
            <v>1</v>
          </cell>
          <cell r="N45">
            <v>1.0198733450485871</v>
          </cell>
          <cell r="O45">
            <v>1.012346478107363</v>
          </cell>
          <cell r="P45">
            <v>1.0148075400700145</v>
          </cell>
          <cell r="Q45">
            <v>1.028332438736286</v>
          </cell>
          <cell r="R45">
            <v>1</v>
          </cell>
          <cell r="S45">
            <v>1</v>
          </cell>
          <cell r="T45">
            <v>1.0033606131911115</v>
          </cell>
          <cell r="U45">
            <v>1.0183724214119738</v>
          </cell>
          <cell r="V45">
            <v>1.0314259938436146</v>
          </cell>
          <cell r="W45">
            <v>1.0108858243319481</v>
          </cell>
          <cell r="X45">
            <v>1.039474499573771</v>
          </cell>
          <cell r="Y45">
            <v>1.039474499573771</v>
          </cell>
          <cell r="Z45">
            <v>1.039474499573771</v>
          </cell>
          <cell r="AA45">
            <v>1</v>
          </cell>
          <cell r="AB45">
            <v>1</v>
          </cell>
          <cell r="AC45">
            <v>1.0315837501504204</v>
          </cell>
          <cell r="AD45">
            <v>1.0132653200788346</v>
          </cell>
          <cell r="AE45">
            <v>1</v>
          </cell>
          <cell r="AF45">
            <v>1</v>
          </cell>
          <cell r="AG45">
            <v>1.0071257318107305</v>
          </cell>
          <cell r="AH45">
            <v>1.0254344846390515</v>
          </cell>
          <cell r="AI45">
            <v>1</v>
          </cell>
          <cell r="AJ45">
            <v>1</v>
          </cell>
          <cell r="AK45">
            <v>1.0042390917040809</v>
          </cell>
          <cell r="AL45">
            <v>1.0157770312106829</v>
          </cell>
          <cell r="AM45">
            <v>1.0254344846390515</v>
          </cell>
          <cell r="AN45">
            <v>1.0136798693253166</v>
          </cell>
          <cell r="AO45">
            <v>1.0259356376257842</v>
          </cell>
          <cell r="AP45">
            <v>1.0161697808375789</v>
          </cell>
          <cell r="AQ45">
            <v>1.0332384182734389</v>
          </cell>
          <cell r="AR45">
            <v>1.0161141778481526</v>
          </cell>
          <cell r="AS45">
            <v>1.0075740072799102</v>
          </cell>
          <cell r="AT45">
            <v>1.0078737556537196</v>
          </cell>
          <cell r="AU45">
            <v>1.0000421353708333</v>
          </cell>
          <cell r="AV45">
            <v>1.000741343231089</v>
          </cell>
          <cell r="AW45">
            <v>1.009254556552146</v>
          </cell>
          <cell r="AX45">
            <v>1.0093618089254752</v>
          </cell>
          <cell r="AY45">
            <v>1.0108858243319481</v>
          </cell>
          <cell r="AZ45">
            <v>1.0255243629216042</v>
          </cell>
          <cell r="BA45">
            <v>1.0002165146960351</v>
          </cell>
          <cell r="BB45">
            <v>1.0005156546330034</v>
          </cell>
          <cell r="BC45">
            <v>1.0112156212669101</v>
          </cell>
          <cell r="BD45">
            <v>1.0122902258255793</v>
          </cell>
          <cell r="BE45">
            <v>1.0178877583245334</v>
          </cell>
          <cell r="BF45">
            <v>1.0254569856804177</v>
          </cell>
          <cell r="BG45">
            <v>1.0279963421187182</v>
          </cell>
          <cell r="BH45">
            <v>1.0270360803698939</v>
          </cell>
          <cell r="BI45">
            <v>1.0334703674412185</v>
          </cell>
          <cell r="BJ45">
            <v>1.0230240719941379</v>
          </cell>
          <cell r="BK45">
            <v>1</v>
          </cell>
          <cell r="BL45">
            <v>1.0163579815322266</v>
          </cell>
          <cell r="BM45">
            <v>1</v>
          </cell>
          <cell r="BN45">
            <v>1.0136320088724362</v>
          </cell>
          <cell r="BO45">
            <v>1.0119968917168238</v>
          </cell>
          <cell r="BP45">
            <v>1.0076885414860142</v>
          </cell>
          <cell r="BQ45">
            <v>1.0368327971293883</v>
          </cell>
          <cell r="BR45">
            <v>1.0327489605224254</v>
          </cell>
          <cell r="BS45">
            <v>1.0345972381045898</v>
          </cell>
          <cell r="BT45">
            <v>1.0282815954442748</v>
          </cell>
          <cell r="BU45">
            <v>1.0192912357841903</v>
          </cell>
          <cell r="BV45">
            <v>1</v>
          </cell>
          <cell r="BW45">
            <v>1.0031179496</v>
          </cell>
          <cell r="BX45">
            <v>1.0001162386885969</v>
          </cell>
          <cell r="BY45">
            <v>1.0060266326</v>
          </cell>
          <cell r="BZ45">
            <v>1.0002246758158246</v>
          </cell>
          <cell r="CA45">
            <v>1.0040454424</v>
          </cell>
          <cell r="CB45">
            <v>1.0001508160745671</v>
          </cell>
          <cell r="CC45">
            <v>1.0221572978261271</v>
          </cell>
          <cell r="CD45">
            <v>1.0322902850584628</v>
          </cell>
        </row>
        <row r="46">
          <cell r="B46">
            <v>1.0104526173929669</v>
          </cell>
          <cell r="C46">
            <v>1.0218511283722431</v>
          </cell>
          <cell r="D46">
            <v>1.0083267328345904</v>
          </cell>
          <cell r="E46">
            <v>1.0199229507127954</v>
          </cell>
          <cell r="F46">
            <v>1.0198288003245146</v>
          </cell>
          <cell r="G46">
            <v>1.0190311541648596</v>
          </cell>
          <cell r="H46">
            <v>1.029333451213972</v>
          </cell>
          <cell r="I46">
            <v>1.0438740499828967</v>
          </cell>
          <cell r="J46">
            <v>1</v>
          </cell>
          <cell r="K46">
            <v>1.0230675416558608</v>
          </cell>
          <cell r="L46">
            <v>1.0013429186379501</v>
          </cell>
          <cell r="M46">
            <v>1</v>
          </cell>
          <cell r="N46">
            <v>1.0148000292059201</v>
          </cell>
          <cell r="O46">
            <v>1.0083267328345904</v>
          </cell>
          <cell r="P46">
            <v>1.0133331765853992</v>
          </cell>
          <cell r="Q46">
            <v>1.019986435668274</v>
          </cell>
          <cell r="R46">
            <v>1</v>
          </cell>
          <cell r="S46">
            <v>1</v>
          </cell>
          <cell r="T46">
            <v>1.0025160624203042</v>
          </cell>
          <cell r="U46">
            <v>1.0125763949073256</v>
          </cell>
          <cell r="V46">
            <v>1.0215115798481196</v>
          </cell>
          <cell r="W46">
            <v>1.0072784141701661</v>
          </cell>
          <cell r="X46">
            <v>1.0289436293114247</v>
          </cell>
          <cell r="Y46">
            <v>1.0289436293114247</v>
          </cell>
          <cell r="Z46">
            <v>1.0289436293114247</v>
          </cell>
          <cell r="AA46">
            <v>1</v>
          </cell>
          <cell r="AB46">
            <v>1</v>
          </cell>
          <cell r="AC46">
            <v>1.0216125067363555</v>
          </cell>
          <cell r="AD46">
            <v>1.006559336952366</v>
          </cell>
          <cell r="AE46">
            <v>1</v>
          </cell>
          <cell r="AF46">
            <v>1</v>
          </cell>
          <cell r="AG46">
            <v>1.0045623693631665</v>
          </cell>
          <cell r="AH46">
            <v>1.0169567505871122</v>
          </cell>
          <cell r="AI46">
            <v>1</v>
          </cell>
          <cell r="AJ46">
            <v>1</v>
          </cell>
          <cell r="AK46">
            <v>1.0023551099828563</v>
          </cell>
          <cell r="AL46">
            <v>1.0094908121764086</v>
          </cell>
          <cell r="AM46">
            <v>1.0169567505871122</v>
          </cell>
          <cell r="AN46">
            <v>1.0100626856066353</v>
          </cell>
          <cell r="AO46">
            <v>1.017081912054393</v>
          </cell>
          <cell r="AP46">
            <v>1.0107574708507459</v>
          </cell>
          <cell r="AQ46">
            <v>1.023805089582889</v>
          </cell>
          <cell r="AR46">
            <v>1.0103848945472496</v>
          </cell>
          <cell r="AS46">
            <v>1.004078755453953</v>
          </cell>
          <cell r="AT46">
            <v>1.0044814660497323</v>
          </cell>
          <cell r="AU46">
            <v>1.0000324333273336</v>
          </cell>
          <cell r="AV46">
            <v>1.000410109394001</v>
          </cell>
          <cell r="AW46">
            <v>1.0043618360414113</v>
          </cell>
          <cell r="AX46">
            <v>1.0062594361863428</v>
          </cell>
          <cell r="AY46">
            <v>1.0072784141701661</v>
          </cell>
          <cell r="AZ46">
            <v>1.017830277875035</v>
          </cell>
          <cell r="BA46">
            <v>1.0001211779794847</v>
          </cell>
          <cell r="BB46">
            <v>1.0002164206299136</v>
          </cell>
          <cell r="BC46">
            <v>1.0101836487465712</v>
          </cell>
          <cell r="BD46">
            <v>1.0115774308142602</v>
          </cell>
          <cell r="BE46">
            <v>1.0178877583245334</v>
          </cell>
          <cell r="BF46">
            <v>1.0254569856804181</v>
          </cell>
          <cell r="BG46">
            <v>1.0279963421187182</v>
          </cell>
          <cell r="BH46">
            <v>1.0270360803698937</v>
          </cell>
          <cell r="BI46">
            <v>1.0334703674412187</v>
          </cell>
          <cell r="BJ46">
            <v>1.0230240719941381</v>
          </cell>
          <cell r="BK46">
            <v>1</v>
          </cell>
          <cell r="BL46">
            <v>1.0163579815322268</v>
          </cell>
          <cell r="BM46">
            <v>1</v>
          </cell>
          <cell r="BN46">
            <v>1.0136320088724362</v>
          </cell>
          <cell r="BO46">
            <v>1.0119968917168241</v>
          </cell>
          <cell r="BP46">
            <v>1.0076885414860139</v>
          </cell>
          <cell r="BQ46">
            <v>1.036832797129388</v>
          </cell>
          <cell r="BR46">
            <v>1.0327489605224256</v>
          </cell>
          <cell r="BS46">
            <v>1.0345972381045896</v>
          </cell>
          <cell r="BT46">
            <v>1.028281595444275</v>
          </cell>
          <cell r="BU46">
            <v>1.0192912357841906</v>
          </cell>
          <cell r="BV46">
            <v>1</v>
          </cell>
          <cell r="BW46">
            <v>1.0031179496</v>
          </cell>
          <cell r="BX46">
            <v>1.0001150407809791</v>
          </cell>
          <cell r="BY46">
            <v>1.0060266326</v>
          </cell>
          <cell r="BZ46">
            <v>1.000222360400238</v>
          </cell>
          <cell r="CA46">
            <v>1.0040454424</v>
          </cell>
          <cell r="CB46">
            <v>1.0001492618267793</v>
          </cell>
          <cell r="CC46">
            <v>1.0221572978261271</v>
          </cell>
          <cell r="CD46">
            <v>1.0322902850584628</v>
          </cell>
        </row>
        <row r="47">
          <cell r="B47">
            <v>1.0072807885087709</v>
          </cell>
          <cell r="C47">
            <v>1.0181075269314752</v>
          </cell>
          <cell r="D47">
            <v>1.0059392021944318</v>
          </cell>
          <cell r="E47">
            <v>1.0165696397075139</v>
          </cell>
          <cell r="F47">
            <v>1.0170548018699193</v>
          </cell>
          <cell r="G47">
            <v>1.0160559492564465</v>
          </cell>
          <cell r="H47">
            <v>1.0276066865085438</v>
          </cell>
          <cell r="I47">
            <v>1.027606686508544</v>
          </cell>
          <cell r="J47">
            <v>1</v>
          </cell>
          <cell r="K47">
            <v>1.013352535735071</v>
          </cell>
          <cell r="L47">
            <v>1.0008419429949791</v>
          </cell>
          <cell r="M47">
            <v>1</v>
          </cell>
          <cell r="N47">
            <v>1.0133525357350712</v>
          </cell>
          <cell r="O47">
            <v>1.0059392021944318</v>
          </cell>
          <cell r="P47">
            <v>1.0097168433817001</v>
          </cell>
          <cell r="Q47">
            <v>1.0162974873120558</v>
          </cell>
          <cell r="R47">
            <v>1</v>
          </cell>
          <cell r="S47">
            <v>1</v>
          </cell>
          <cell r="T47">
            <v>1.0017160890323278</v>
          </cell>
          <cell r="U47">
            <v>1.0097593392365678</v>
          </cell>
          <cell r="V47">
            <v>1.0179445282780812</v>
          </cell>
          <cell r="W47">
            <v>1.0054339499424088</v>
          </cell>
          <cell r="X47">
            <v>1.0264627844637644</v>
          </cell>
          <cell r="Y47">
            <v>1.0264627844637644</v>
          </cell>
          <cell r="Z47">
            <v>1.0264627844637644</v>
          </cell>
          <cell r="AA47">
            <v>1</v>
          </cell>
          <cell r="AB47">
            <v>1</v>
          </cell>
          <cell r="AC47">
            <v>1.0177981328274885</v>
          </cell>
          <cell r="AD47">
            <v>1.0045472341209858</v>
          </cell>
          <cell r="AE47">
            <v>1</v>
          </cell>
          <cell r="AF47">
            <v>1</v>
          </cell>
          <cell r="AG47">
            <v>1.0035245873203886</v>
          </cell>
          <cell r="AH47">
            <v>1.0135179083060588</v>
          </cell>
          <cell r="AI47">
            <v>1</v>
          </cell>
          <cell r="AJ47">
            <v>1</v>
          </cell>
          <cell r="AK47">
            <v>1.0015762179059382</v>
          </cell>
          <cell r="AL47">
            <v>1.0069196612261844</v>
          </cell>
          <cell r="AM47">
            <v>1.0135179083060588</v>
          </cell>
          <cell r="AN47">
            <v>1.0071779410109076</v>
          </cell>
          <cell r="AO47">
            <v>1.0138334719729005</v>
          </cell>
          <cell r="AP47">
            <v>1.0079802087211909</v>
          </cell>
          <cell r="AQ47">
            <v>1.0206141469153647</v>
          </cell>
          <cell r="AR47">
            <v>1.0072283344609301</v>
          </cell>
          <cell r="AS47">
            <v>1.0027200595592625</v>
          </cell>
          <cell r="AT47">
            <v>1.0028604907042928</v>
          </cell>
          <cell r="AU47">
            <v>1.0000149978977502</v>
          </cell>
          <cell r="AV47">
            <v>1.000315558948591</v>
          </cell>
          <cell r="AW47">
            <v>1.0032491577330618</v>
          </cell>
          <cell r="AX47">
            <v>1.0046731969504714</v>
          </cell>
          <cell r="AY47">
            <v>1.0054339499424088</v>
          </cell>
          <cell r="AZ47">
            <v>1.0147568095425525</v>
          </cell>
          <cell r="BA47">
            <v>1.0000840739464147</v>
          </cell>
          <cell r="BB47">
            <v>1.0001283104056577</v>
          </cell>
          <cell r="BC47">
            <v>1.0073175476596585</v>
          </cell>
          <cell r="BD47">
            <v>1.0080344443705596</v>
          </cell>
          <cell r="BE47">
            <v>1.0178877583245334</v>
          </cell>
          <cell r="BF47">
            <v>1.0254569856804181</v>
          </cell>
          <cell r="BG47">
            <v>1.0279963421187182</v>
          </cell>
          <cell r="BH47">
            <v>1.0270360803698937</v>
          </cell>
          <cell r="BI47">
            <v>1.0334703674412187</v>
          </cell>
          <cell r="BJ47">
            <v>1.0230240719941381</v>
          </cell>
          <cell r="BK47">
            <v>1</v>
          </cell>
          <cell r="BL47">
            <v>1.0163579815322268</v>
          </cell>
          <cell r="BM47">
            <v>1</v>
          </cell>
          <cell r="BN47">
            <v>1.0136320088724362</v>
          </cell>
          <cell r="BO47">
            <v>1.0119968917168241</v>
          </cell>
          <cell r="BP47">
            <v>1.0076885414860139</v>
          </cell>
          <cell r="BQ47">
            <v>1.036832797129388</v>
          </cell>
          <cell r="BR47">
            <v>1.0327489605224256</v>
          </cell>
          <cell r="BS47">
            <v>1.0345972381045896</v>
          </cell>
          <cell r="BT47">
            <v>1.028281595444275</v>
          </cell>
          <cell r="BU47">
            <v>1.0192912357841906</v>
          </cell>
          <cell r="BV47">
            <v>1</v>
          </cell>
          <cell r="BW47">
            <v>1.0031179496</v>
          </cell>
          <cell r="BX47">
            <v>1.0001150407809791</v>
          </cell>
          <cell r="BY47">
            <v>1.0060266326</v>
          </cell>
          <cell r="BZ47">
            <v>1.000222360400238</v>
          </cell>
          <cell r="CA47">
            <v>1.0040454424</v>
          </cell>
          <cell r="CB47">
            <v>1.0001492618267793</v>
          </cell>
          <cell r="CC47">
            <v>1.0221572978261271</v>
          </cell>
          <cell r="CD47">
            <v>1.0322902850584628</v>
          </cell>
        </row>
        <row r="48">
          <cell r="B48">
            <v>1.0090713394582407</v>
          </cell>
          <cell r="C48">
            <v>1.0226791269970943</v>
          </cell>
          <cell r="D48">
            <v>1.0073075502777622</v>
          </cell>
          <cell r="E48">
            <v>1.0206682176394442</v>
          </cell>
          <cell r="F48">
            <v>1.021082047092958</v>
          </cell>
          <cell r="G48">
            <v>1.0195855197001149</v>
          </cell>
          <cell r="H48">
            <v>1.0327268070180615</v>
          </cell>
          <cell r="I48">
            <v>1.0327268070180613</v>
          </cell>
          <cell r="J48">
            <v>1</v>
          </cell>
          <cell r="K48">
            <v>1.0158442555745408</v>
          </cell>
          <cell r="L48">
            <v>1.0010412795573047</v>
          </cell>
          <cell r="M48">
            <v>1</v>
          </cell>
          <cell r="N48">
            <v>1.0158442555745406</v>
          </cell>
          <cell r="O48">
            <v>1.0073075502777622</v>
          </cell>
          <cell r="P48">
            <v>1.0119502034976458</v>
          </cell>
          <cell r="Q48">
            <v>1.0203847436728708</v>
          </cell>
          <cell r="R48">
            <v>1</v>
          </cell>
          <cell r="S48">
            <v>1</v>
          </cell>
          <cell r="T48">
            <v>1.0021821785773342</v>
          </cell>
          <cell r="U48">
            <v>1.0117683082965967</v>
          </cell>
          <cell r="V48">
            <v>1.0225335139886753</v>
          </cell>
          <cell r="W48">
            <v>1.0066035156866378</v>
          </cell>
          <cell r="X48">
            <v>1.0325066275957453</v>
          </cell>
          <cell r="Y48">
            <v>1.0325066275957453</v>
          </cell>
          <cell r="Z48">
            <v>1.0325066275957453</v>
          </cell>
          <cell r="AA48">
            <v>1</v>
          </cell>
          <cell r="AB48">
            <v>1</v>
          </cell>
          <cell r="AC48">
            <v>1.0222271955347069</v>
          </cell>
          <cell r="AD48">
            <v>1.0055715503838489</v>
          </cell>
          <cell r="AE48">
            <v>1</v>
          </cell>
          <cell r="AF48">
            <v>1</v>
          </cell>
          <cell r="AG48">
            <v>1.0045067087975088</v>
          </cell>
          <cell r="AH48">
            <v>1.0168097016188948</v>
          </cell>
          <cell r="AI48">
            <v>1</v>
          </cell>
          <cell r="AJ48">
            <v>1</v>
          </cell>
          <cell r="AK48">
            <v>1.0019924328091194</v>
          </cell>
          <cell r="AL48">
            <v>1.0084798660452137</v>
          </cell>
          <cell r="AM48">
            <v>1.0168097016188948</v>
          </cell>
          <cell r="AN48">
            <v>1.0088384466131968</v>
          </cell>
          <cell r="AO48">
            <v>1.017213929712635</v>
          </cell>
          <cell r="AP48">
            <v>1.0098060659297519</v>
          </cell>
          <cell r="AQ48">
            <v>1.0256683446261594</v>
          </cell>
          <cell r="AR48">
            <v>1.0089717962578126</v>
          </cell>
          <cell r="AS48">
            <v>1.0031316808473372</v>
          </cell>
          <cell r="AT48">
            <v>1.0033026894162216</v>
          </cell>
          <cell r="AU48">
            <v>1.0000188260302589</v>
          </cell>
          <cell r="AV48">
            <v>1.0003244116195462</v>
          </cell>
          <cell r="AW48">
            <v>1.0039361162257328</v>
          </cell>
          <cell r="AX48">
            <v>1.0056790234905084</v>
          </cell>
          <cell r="AY48">
            <v>1.0066035156866378</v>
          </cell>
          <cell r="AZ48">
            <v>1.0173272464937155</v>
          </cell>
          <cell r="BA48">
            <v>1.0000836955796408</v>
          </cell>
          <cell r="BB48">
            <v>1.0002394662240675</v>
          </cell>
          <cell r="BC48">
            <v>1.0081080613918973</v>
          </cell>
          <cell r="BD48">
            <v>1.0094882830522718</v>
          </cell>
          <cell r="BE48">
            <v>1.0178877583245334</v>
          </cell>
          <cell r="BF48">
            <v>1.0254569856804181</v>
          </cell>
          <cell r="BG48">
            <v>1.0279963421187182</v>
          </cell>
          <cell r="BH48">
            <v>1.0270360803698937</v>
          </cell>
          <cell r="BI48">
            <v>1.0334703674412187</v>
          </cell>
          <cell r="BJ48">
            <v>1.0230240719941381</v>
          </cell>
          <cell r="BK48">
            <v>1</v>
          </cell>
          <cell r="BL48">
            <v>1.0163579815322268</v>
          </cell>
          <cell r="BM48">
            <v>1</v>
          </cell>
          <cell r="BN48">
            <v>1.0136320088724362</v>
          </cell>
          <cell r="BO48">
            <v>1.0119968917168241</v>
          </cell>
          <cell r="BP48">
            <v>1.0076885414860139</v>
          </cell>
          <cell r="BQ48">
            <v>1.036832797129388</v>
          </cell>
          <cell r="BR48">
            <v>1.0327489605224256</v>
          </cell>
          <cell r="BS48">
            <v>1.0345972381045896</v>
          </cell>
          <cell r="BT48">
            <v>1.028281595444275</v>
          </cell>
          <cell r="BU48">
            <v>1.0192912357841906</v>
          </cell>
          <cell r="BV48">
            <v>1</v>
          </cell>
          <cell r="BW48">
            <v>1.0031179496</v>
          </cell>
          <cell r="BX48">
            <v>1.0001150407809791</v>
          </cell>
          <cell r="BY48">
            <v>1.0060266326</v>
          </cell>
          <cell r="BZ48">
            <v>1.000222360400238</v>
          </cell>
          <cell r="CA48">
            <v>1.0040454424</v>
          </cell>
          <cell r="CB48">
            <v>1.0001492618267793</v>
          </cell>
          <cell r="CC48">
            <v>1.0221572978261271</v>
          </cell>
          <cell r="CD48">
            <v>1.0322902850584628</v>
          </cell>
        </row>
        <row r="49">
          <cell r="B49">
            <v>1.0121391925172252</v>
          </cell>
          <cell r="C49">
            <v>1.027970806472623</v>
          </cell>
          <cell r="D49">
            <v>1.0096773147668106</v>
          </cell>
          <cell r="E49">
            <v>1.0253863668709855</v>
          </cell>
          <cell r="F49">
            <v>1.0254485937957278</v>
          </cell>
          <cell r="G49">
            <v>1.0238051273590223</v>
          </cell>
          <cell r="H49">
            <v>1.037640991113725</v>
          </cell>
          <cell r="I49">
            <v>1.037640991113725</v>
          </cell>
          <cell r="J49">
            <v>1</v>
          </cell>
          <cell r="K49">
            <v>1.0185657503722754</v>
          </cell>
          <cell r="L49">
            <v>1.0014723929219302</v>
          </cell>
          <cell r="M49">
            <v>1</v>
          </cell>
          <cell r="N49">
            <v>1.0185657503722751</v>
          </cell>
          <cell r="O49">
            <v>1.0096773147668106</v>
          </cell>
          <cell r="P49">
            <v>1.0156593015170117</v>
          </cell>
          <cell r="Q49">
            <v>1.0252472829376562</v>
          </cell>
          <cell r="R49">
            <v>1</v>
          </cell>
          <cell r="S49">
            <v>1</v>
          </cell>
          <cell r="T49">
            <v>1.0029396329222464</v>
          </cell>
          <cell r="U49">
            <v>1.0149006836535077</v>
          </cell>
          <cell r="V49">
            <v>1.0276417361026129</v>
          </cell>
          <cell r="W49">
            <v>1.0085340160580685</v>
          </cell>
          <cell r="X49">
            <v>1.0382461149391573</v>
          </cell>
          <cell r="Y49">
            <v>1.0382461149391573</v>
          </cell>
          <cell r="Z49">
            <v>1.0382461149391573</v>
          </cell>
          <cell r="AA49">
            <v>1</v>
          </cell>
          <cell r="AB49">
            <v>1</v>
          </cell>
          <cell r="AC49">
            <v>1.0275331878875684</v>
          </cell>
          <cell r="AD49">
            <v>1.0074940242871273</v>
          </cell>
          <cell r="AE49">
            <v>1</v>
          </cell>
          <cell r="AF49">
            <v>1</v>
          </cell>
          <cell r="AG49">
            <v>1.0057114832515357</v>
          </cell>
          <cell r="AH49">
            <v>1.021033842682364</v>
          </cell>
          <cell r="AI49">
            <v>1</v>
          </cell>
          <cell r="AJ49">
            <v>1</v>
          </cell>
          <cell r="AK49">
            <v>1.0027123859522087</v>
          </cell>
          <cell r="AL49">
            <v>1.0110963557215775</v>
          </cell>
          <cell r="AM49">
            <v>1.021033842682364</v>
          </cell>
          <cell r="AN49">
            <v>1.0116859424965894</v>
          </cell>
          <cell r="AO49">
            <v>1.0213613679449711</v>
          </cell>
          <cell r="AP49">
            <v>1.0127266470011729</v>
          </cell>
          <cell r="AQ49">
            <v>1.0309871625035139</v>
          </cell>
          <cell r="AR49">
            <v>1.0119888147191853</v>
          </cell>
          <cell r="AS49">
            <v>1.0043275038266033</v>
          </cell>
          <cell r="AT49">
            <v>1.0045638115068249</v>
          </cell>
          <cell r="AU49">
            <v>1.0000221862410632</v>
          </cell>
          <cell r="AV49">
            <v>1.0004209436125124</v>
          </cell>
          <cell r="AW49">
            <v>1.0052953970054681</v>
          </cell>
          <cell r="AX49">
            <v>1.0073392538099388</v>
          </cell>
          <cell r="AY49">
            <v>1.0085340160580685</v>
          </cell>
          <cell r="AZ49">
            <v>1.0238059134911592</v>
          </cell>
          <cell r="BA49">
            <v>1.0001169360301112</v>
          </cell>
          <cell r="BB49">
            <v>1.0003242090670446</v>
          </cell>
          <cell r="BC49">
            <v>1.0103969229829357</v>
          </cell>
          <cell r="BD49">
            <v>1.0123284905426095</v>
          </cell>
          <cell r="BE49">
            <v>1.0178877583245334</v>
          </cell>
          <cell r="BF49">
            <v>1.0254569856804181</v>
          </cell>
          <cell r="BG49">
            <v>1.0279963421187182</v>
          </cell>
          <cell r="BH49">
            <v>1.0270360803698937</v>
          </cell>
          <cell r="BI49">
            <v>1.0334703674412187</v>
          </cell>
          <cell r="BJ49">
            <v>1.0230240719941381</v>
          </cell>
          <cell r="BK49">
            <v>1</v>
          </cell>
          <cell r="BL49">
            <v>1.0163579815322268</v>
          </cell>
          <cell r="BM49">
            <v>1</v>
          </cell>
          <cell r="BN49">
            <v>1.0136320088724362</v>
          </cell>
          <cell r="BO49">
            <v>1.0119968917168241</v>
          </cell>
          <cell r="BP49">
            <v>1.0076885414860139</v>
          </cell>
          <cell r="BQ49">
            <v>1.036832797129388</v>
          </cell>
          <cell r="BR49">
            <v>1.0327489605224256</v>
          </cell>
          <cell r="BS49">
            <v>1.0345972381045896</v>
          </cell>
          <cell r="BT49">
            <v>1.028281595444275</v>
          </cell>
          <cell r="BU49">
            <v>1.0192912357841906</v>
          </cell>
          <cell r="BV49">
            <v>1</v>
          </cell>
          <cell r="BW49">
            <v>1.0031179496</v>
          </cell>
          <cell r="BX49">
            <v>1.0001150407809791</v>
          </cell>
          <cell r="BY49">
            <v>1.0060266326</v>
          </cell>
          <cell r="BZ49">
            <v>1.000222360400238</v>
          </cell>
          <cell r="CA49">
            <v>1.0040454424</v>
          </cell>
          <cell r="CB49">
            <v>1.0001492618267793</v>
          </cell>
          <cell r="CC49">
            <v>1.0221572978261271</v>
          </cell>
          <cell r="CD49">
            <v>1.0322902850584628</v>
          </cell>
        </row>
        <row r="50">
          <cell r="B50">
            <v>1.0127282086088749</v>
          </cell>
          <cell r="C50">
            <v>1.0289305360777645</v>
          </cell>
          <cell r="D50">
            <v>1.0101333307307809</v>
          </cell>
          <cell r="E50">
            <v>1.0262402472381835</v>
          </cell>
          <cell r="F50">
            <v>1.026230023366824</v>
          </cell>
          <cell r="G50">
            <v>1.024575346910052</v>
          </cell>
          <cell r="H50">
            <v>1.0385031977751438</v>
          </cell>
          <cell r="I50">
            <v>1.0385031977751433</v>
          </cell>
          <cell r="J50">
            <v>1</v>
          </cell>
          <cell r="K50">
            <v>1.019055418017174</v>
          </cell>
          <cell r="L50">
            <v>1.0015570438407793</v>
          </cell>
          <cell r="M50">
            <v>1</v>
          </cell>
          <cell r="N50">
            <v>1.019055418017174</v>
          </cell>
          <cell r="O50">
            <v>1.0101333307307809</v>
          </cell>
          <cell r="P50">
            <v>1.0163705153541229</v>
          </cell>
          <cell r="Q50">
            <v>1.0261321279984807</v>
          </cell>
          <cell r="R50">
            <v>1</v>
          </cell>
          <cell r="S50">
            <v>1</v>
          </cell>
          <cell r="T50">
            <v>1.0030834341690291</v>
          </cell>
          <cell r="U50">
            <v>1.0154968855981215</v>
          </cell>
          <cell r="V50">
            <v>1.0285595634352032</v>
          </cell>
          <cell r="W50">
            <v>1.0089035407545361</v>
          </cell>
          <cell r="X50">
            <v>1.0392467706837401</v>
          </cell>
          <cell r="Y50">
            <v>1.0392467706837401</v>
          </cell>
          <cell r="Z50">
            <v>1.0392467706837401</v>
          </cell>
          <cell r="AA50">
            <v>1</v>
          </cell>
          <cell r="AB50">
            <v>1</v>
          </cell>
          <cell r="AC50">
            <v>1.0285029323285284</v>
          </cell>
          <cell r="AD50">
            <v>1.0078674051653591</v>
          </cell>
          <cell r="AE50">
            <v>1</v>
          </cell>
          <cell r="AF50">
            <v>1</v>
          </cell>
          <cell r="AG50">
            <v>1.005930551326123</v>
          </cell>
          <cell r="AH50">
            <v>1.0218128846358479</v>
          </cell>
          <cell r="AI50">
            <v>1</v>
          </cell>
          <cell r="AJ50">
            <v>1</v>
          </cell>
          <cell r="AK50">
            <v>1.0028502142975582</v>
          </cell>
          <cell r="AL50">
            <v>1.0115981379164187</v>
          </cell>
          <cell r="AM50">
            <v>1.0218128846358479</v>
          </cell>
          <cell r="AN50">
            <v>1.0122331652565277</v>
          </cell>
          <cell r="AO50">
            <v>1.022120041592818</v>
          </cell>
          <cell r="AP50">
            <v>1.0132835619396239</v>
          </cell>
          <cell r="AQ50">
            <v>1.0319338485042322</v>
          </cell>
          <cell r="AR50">
            <v>1.0125570405875415</v>
          </cell>
          <cell r="AS50">
            <v>1.0043852699385161</v>
          </cell>
          <cell r="AT50">
            <v>1.0046247319951287</v>
          </cell>
          <cell r="AU50">
            <v>1.0000254604385728</v>
          </cell>
          <cell r="AV50">
            <v>1.0004651426611082</v>
          </cell>
          <cell r="AW50">
            <v>1.0055169938229607</v>
          </cell>
          <cell r="AX50">
            <v>1.0076570450489011</v>
          </cell>
          <cell r="AY50">
            <v>1.0089035407545361</v>
          </cell>
          <cell r="AZ50">
            <v>1.0213437992158871</v>
          </cell>
          <cell r="BA50">
            <v>1.0002126946872019</v>
          </cell>
          <cell r="BB50">
            <v>1.0004090813014033</v>
          </cell>
          <cell r="BC50">
            <v>1.0108691302190511</v>
          </cell>
          <cell r="BD50">
            <v>1.0128884256747783</v>
          </cell>
          <cell r="BE50">
            <v>1.0178877583245334</v>
          </cell>
          <cell r="BF50">
            <v>1.0254569856804181</v>
          </cell>
          <cell r="BG50">
            <v>1.0279963421187182</v>
          </cell>
          <cell r="BH50">
            <v>1.0270360803698937</v>
          </cell>
          <cell r="BI50">
            <v>1.0334703674412187</v>
          </cell>
          <cell r="BJ50">
            <v>1.0230240719941381</v>
          </cell>
          <cell r="BK50">
            <v>1</v>
          </cell>
          <cell r="BL50">
            <v>1.0163579815322268</v>
          </cell>
          <cell r="BM50">
            <v>1</v>
          </cell>
          <cell r="BN50">
            <v>1.0136320088724362</v>
          </cell>
          <cell r="BO50">
            <v>1.0119968917168241</v>
          </cell>
          <cell r="BP50">
            <v>1.0076885414860139</v>
          </cell>
          <cell r="BQ50">
            <v>1.036832797129388</v>
          </cell>
          <cell r="BR50">
            <v>1.0327489605224256</v>
          </cell>
          <cell r="BS50">
            <v>1.0345972381045896</v>
          </cell>
          <cell r="BT50">
            <v>1.028281595444275</v>
          </cell>
          <cell r="BU50">
            <v>1.0192912357841906</v>
          </cell>
          <cell r="BV50">
            <v>1</v>
          </cell>
          <cell r="BW50">
            <v>1.0031179496</v>
          </cell>
          <cell r="BX50">
            <v>1.0001150407809791</v>
          </cell>
          <cell r="BY50">
            <v>1.0060266326</v>
          </cell>
          <cell r="BZ50">
            <v>1.000222360400238</v>
          </cell>
          <cell r="CA50">
            <v>1.0040454424</v>
          </cell>
          <cell r="CB50">
            <v>1.0001492618267793</v>
          </cell>
          <cell r="CC50">
            <v>1.0221572978261271</v>
          </cell>
          <cell r="CD50">
            <v>1.0322902850584628</v>
          </cell>
        </row>
        <row r="51">
          <cell r="B51">
            <v>1.0127282086088749</v>
          </cell>
          <cell r="C51">
            <v>1.0289305360777645</v>
          </cell>
          <cell r="D51">
            <v>1.0101333307307812</v>
          </cell>
          <cell r="E51">
            <v>1.0262402472381835</v>
          </cell>
          <cell r="F51">
            <v>1.026230023366824</v>
          </cell>
          <cell r="G51">
            <v>1.0245753469100518</v>
          </cell>
          <cell r="H51">
            <v>1.0385031977751435</v>
          </cell>
          <cell r="I51">
            <v>1.0385031977751438</v>
          </cell>
          <cell r="J51">
            <v>1</v>
          </cell>
          <cell r="K51">
            <v>1.0190554180171743</v>
          </cell>
          <cell r="L51">
            <v>1.0015570438407795</v>
          </cell>
          <cell r="M51">
            <v>1</v>
          </cell>
          <cell r="N51">
            <v>1.0190554180171743</v>
          </cell>
          <cell r="O51">
            <v>1.0101333307307812</v>
          </cell>
          <cell r="P51">
            <v>1.0163705153541229</v>
          </cell>
          <cell r="Q51">
            <v>1.0261321279984807</v>
          </cell>
          <cell r="R51">
            <v>1</v>
          </cell>
          <cell r="S51">
            <v>1</v>
          </cell>
          <cell r="T51">
            <v>1.0030834341690291</v>
          </cell>
          <cell r="U51">
            <v>1.0154968855981215</v>
          </cell>
          <cell r="V51">
            <v>1.0285595634352034</v>
          </cell>
          <cell r="W51">
            <v>1.0089035407545364</v>
          </cell>
          <cell r="X51">
            <v>1.0392467706837403</v>
          </cell>
          <cell r="Y51">
            <v>1.0392467706837403</v>
          </cell>
          <cell r="Z51">
            <v>1.0392467706837403</v>
          </cell>
          <cell r="AA51">
            <v>1</v>
          </cell>
          <cell r="AB51">
            <v>1</v>
          </cell>
          <cell r="AC51">
            <v>1.0285029323285282</v>
          </cell>
          <cell r="AD51">
            <v>1.0078674051653596</v>
          </cell>
          <cell r="AE51">
            <v>1</v>
          </cell>
          <cell r="AF51">
            <v>1</v>
          </cell>
          <cell r="AG51">
            <v>1.005930551326123</v>
          </cell>
          <cell r="AH51">
            <v>1.0218128846358479</v>
          </cell>
          <cell r="AI51">
            <v>1</v>
          </cell>
          <cell r="AJ51">
            <v>1</v>
          </cell>
          <cell r="AK51">
            <v>1.0028502142975582</v>
          </cell>
          <cell r="AL51">
            <v>1.0115981379164187</v>
          </cell>
          <cell r="AM51">
            <v>1.0218128846358479</v>
          </cell>
          <cell r="AN51">
            <v>1.0122331652565277</v>
          </cell>
          <cell r="AO51">
            <v>1.022120041592818</v>
          </cell>
          <cell r="AP51">
            <v>1.0132835619396241</v>
          </cell>
          <cell r="AQ51">
            <v>1.0319338485042322</v>
          </cell>
          <cell r="AR51">
            <v>1.0125411673263374</v>
          </cell>
          <cell r="AS51">
            <v>1.0044204389740634</v>
          </cell>
          <cell r="AT51">
            <v>1.0046618214710819</v>
          </cell>
          <cell r="AU51">
            <v>1.0000345315844974</v>
          </cell>
          <cell r="AV51">
            <v>1.0003557864925681</v>
          </cell>
          <cell r="AW51">
            <v>1.0055263055105996</v>
          </cell>
          <cell r="AX51">
            <v>1.0076570450489013</v>
          </cell>
          <cell r="AY51">
            <v>1.0089035407545364</v>
          </cell>
          <cell r="AZ51">
            <v>1.0205253316754805</v>
          </cell>
          <cell r="BA51">
            <v>1.0003178346761357</v>
          </cell>
          <cell r="BB51">
            <v>1.000468912452025</v>
          </cell>
          <cell r="BC51">
            <v>1.0108691302190511</v>
          </cell>
          <cell r="BD51">
            <v>1.0128884256747783</v>
          </cell>
          <cell r="BE51">
            <v>1.0178877583245334</v>
          </cell>
          <cell r="BF51">
            <v>1.0254569856804181</v>
          </cell>
          <cell r="BG51">
            <v>1.0279963421187182</v>
          </cell>
          <cell r="BH51">
            <v>1.0270360803698937</v>
          </cell>
          <cell r="BI51">
            <v>1.0334703674412187</v>
          </cell>
          <cell r="BJ51">
            <v>1.0230240719941381</v>
          </cell>
          <cell r="BK51">
            <v>1</v>
          </cell>
          <cell r="BL51">
            <v>1.0163579815322268</v>
          </cell>
          <cell r="BM51">
            <v>1</v>
          </cell>
          <cell r="BN51">
            <v>1.0136320088724362</v>
          </cell>
          <cell r="BO51">
            <v>1.0119968917168241</v>
          </cell>
          <cell r="BP51">
            <v>1.0076885414860139</v>
          </cell>
          <cell r="BQ51">
            <v>1.036832797129388</v>
          </cell>
          <cell r="BR51">
            <v>1.0327489605224256</v>
          </cell>
          <cell r="BS51">
            <v>1.0345972381045896</v>
          </cell>
          <cell r="BT51">
            <v>1.028281595444275</v>
          </cell>
          <cell r="BU51">
            <v>1.0192912357841906</v>
          </cell>
          <cell r="BV51">
            <v>1</v>
          </cell>
          <cell r="BW51">
            <v>1.0031179496</v>
          </cell>
          <cell r="BX51">
            <v>1.0001150407809791</v>
          </cell>
          <cell r="BY51">
            <v>1.0060266326</v>
          </cell>
          <cell r="BZ51">
            <v>1.000222360400238</v>
          </cell>
          <cell r="CA51">
            <v>1.0040454424</v>
          </cell>
          <cell r="CB51">
            <v>1.0001492618267793</v>
          </cell>
          <cell r="CC51">
            <v>1.0221572978261271</v>
          </cell>
          <cell r="CD51">
            <v>1.0322902850584628</v>
          </cell>
        </row>
        <row r="52">
          <cell r="B52">
            <v>1.0127282086088751</v>
          </cell>
          <cell r="C52">
            <v>1.0289305360777643</v>
          </cell>
          <cell r="D52">
            <v>1.0101333307307809</v>
          </cell>
          <cell r="E52">
            <v>1.0262402472381833</v>
          </cell>
          <cell r="F52">
            <v>1.026230023366824</v>
          </cell>
          <cell r="G52">
            <v>1.0245753469100523</v>
          </cell>
          <cell r="H52">
            <v>1.0385031977751435</v>
          </cell>
          <cell r="I52">
            <v>1.0385031977751433</v>
          </cell>
          <cell r="J52">
            <v>1</v>
          </cell>
          <cell r="K52">
            <v>1.019055418017174</v>
          </cell>
          <cell r="L52">
            <v>1.0015570438407793</v>
          </cell>
          <cell r="M52">
            <v>1</v>
          </cell>
          <cell r="N52">
            <v>1.0190554180171745</v>
          </cell>
          <cell r="O52">
            <v>1.0101333307307809</v>
          </cell>
          <cell r="P52">
            <v>1.0163705153541227</v>
          </cell>
          <cell r="Q52">
            <v>1.0261321279984807</v>
          </cell>
          <cell r="R52">
            <v>1</v>
          </cell>
          <cell r="S52">
            <v>1</v>
          </cell>
          <cell r="T52">
            <v>1.0030834341690291</v>
          </cell>
          <cell r="U52">
            <v>1.0154968855981215</v>
          </cell>
          <cell r="V52">
            <v>1.0285595634352034</v>
          </cell>
          <cell r="W52">
            <v>1.0089035407545361</v>
          </cell>
          <cell r="X52">
            <v>1.0392467706837401</v>
          </cell>
          <cell r="Y52">
            <v>1.0392467706837401</v>
          </cell>
          <cell r="Z52">
            <v>1.0392467706837401</v>
          </cell>
          <cell r="AA52">
            <v>1</v>
          </cell>
          <cell r="AB52">
            <v>1</v>
          </cell>
          <cell r="AC52">
            <v>1.0285029323285282</v>
          </cell>
          <cell r="AD52">
            <v>1.0078674051653591</v>
          </cell>
          <cell r="AE52">
            <v>1</v>
          </cell>
          <cell r="AF52">
            <v>1</v>
          </cell>
          <cell r="AG52">
            <v>1.0059305513261227</v>
          </cell>
          <cell r="AH52">
            <v>1.0218128846358481</v>
          </cell>
          <cell r="AI52">
            <v>1</v>
          </cell>
          <cell r="AJ52">
            <v>1</v>
          </cell>
          <cell r="AK52">
            <v>1.0028502142975582</v>
          </cell>
          <cell r="AL52">
            <v>1.0115981379164187</v>
          </cell>
          <cell r="AM52">
            <v>1.0218128846358481</v>
          </cell>
          <cell r="AN52">
            <v>1.0122331652565273</v>
          </cell>
          <cell r="AO52">
            <v>1.022120041592818</v>
          </cell>
          <cell r="AP52">
            <v>1.0132835619396241</v>
          </cell>
          <cell r="AQ52">
            <v>1.0319338485042322</v>
          </cell>
          <cell r="AR52">
            <v>1.0125248256594979</v>
          </cell>
          <cell r="AS52">
            <v>1.0043365692493558</v>
          </cell>
          <cell r="AT52">
            <v>1.0045733719560654</v>
          </cell>
          <cell r="AU52">
            <v>1.0000394982908321</v>
          </cell>
          <cell r="AV52">
            <v>1.0004692319023925</v>
          </cell>
          <cell r="AW52">
            <v>1.005526738195389</v>
          </cell>
          <cell r="AX52">
            <v>1.0076570450489011</v>
          </cell>
          <cell r="AY52">
            <v>1.0089035407545361</v>
          </cell>
          <cell r="AZ52">
            <v>1.0205325256199715</v>
          </cell>
          <cell r="BA52">
            <v>1.0004102054726411</v>
          </cell>
          <cell r="BB52">
            <v>1.0001241505353129</v>
          </cell>
          <cell r="BC52">
            <v>1.0108691302190509</v>
          </cell>
          <cell r="BD52">
            <v>1.0128884256747783</v>
          </cell>
          <cell r="BE52">
            <v>1.0178877583245334</v>
          </cell>
          <cell r="BF52">
            <v>1.0254569856804181</v>
          </cell>
          <cell r="BG52">
            <v>1.0279963421187182</v>
          </cell>
          <cell r="BH52">
            <v>1.0270360803698937</v>
          </cell>
          <cell r="BI52">
            <v>1.0334703674412187</v>
          </cell>
          <cell r="BJ52">
            <v>1.0230240719941381</v>
          </cell>
          <cell r="BK52">
            <v>1</v>
          </cell>
          <cell r="BL52">
            <v>1.0163579815322268</v>
          </cell>
          <cell r="BM52">
            <v>1</v>
          </cell>
          <cell r="BN52">
            <v>1.0136320088724362</v>
          </cell>
          <cell r="BO52">
            <v>1.0119968917168241</v>
          </cell>
          <cell r="BP52">
            <v>1.0076885414860139</v>
          </cell>
          <cell r="BQ52">
            <v>1.036832797129388</v>
          </cell>
          <cell r="BR52">
            <v>1.0327489605224256</v>
          </cell>
          <cell r="BS52">
            <v>1.0345972381045896</v>
          </cell>
          <cell r="BT52">
            <v>1.028281595444275</v>
          </cell>
          <cell r="BU52">
            <v>1.0192912357841906</v>
          </cell>
          <cell r="BV52">
            <v>1</v>
          </cell>
          <cell r="BW52">
            <v>1.0031179496</v>
          </cell>
          <cell r="BX52">
            <v>1.0001150407809791</v>
          </cell>
          <cell r="BY52">
            <v>1.0060266326</v>
          </cell>
          <cell r="BZ52">
            <v>1.000222360400238</v>
          </cell>
          <cell r="CA52">
            <v>1.0040454424</v>
          </cell>
          <cell r="CB52">
            <v>1.0001492618267793</v>
          </cell>
          <cell r="CC52">
            <v>1.0221572978261271</v>
          </cell>
          <cell r="CD52">
            <v>1.0322902850584628</v>
          </cell>
        </row>
        <row r="53">
          <cell r="B53">
            <v>1.0127282086088751</v>
          </cell>
          <cell r="C53">
            <v>1.0289305360777645</v>
          </cell>
          <cell r="D53">
            <v>1.0101333307307809</v>
          </cell>
          <cell r="E53">
            <v>1.0262402472381833</v>
          </cell>
          <cell r="F53">
            <v>1.0262300233668238</v>
          </cell>
          <cell r="G53">
            <v>1.024575346910052</v>
          </cell>
          <cell r="H53">
            <v>1.0385031977751435</v>
          </cell>
          <cell r="I53">
            <v>1.0385031977751435</v>
          </cell>
          <cell r="J53">
            <v>1</v>
          </cell>
          <cell r="K53">
            <v>1.0190554180171743</v>
          </cell>
          <cell r="L53">
            <v>1.0015570438407793</v>
          </cell>
          <cell r="M53">
            <v>1</v>
          </cell>
          <cell r="N53">
            <v>1.019055418017174</v>
          </cell>
          <cell r="O53">
            <v>1.0101333307307809</v>
          </cell>
          <cell r="P53">
            <v>1.0163705153541225</v>
          </cell>
          <cell r="Q53">
            <v>1.0261321279984807</v>
          </cell>
          <cell r="R53">
            <v>1</v>
          </cell>
          <cell r="S53">
            <v>1</v>
          </cell>
          <cell r="T53">
            <v>1.0030834341690293</v>
          </cell>
          <cell r="U53">
            <v>1.0154968855981215</v>
          </cell>
          <cell r="V53">
            <v>1.0285595634352034</v>
          </cell>
          <cell r="W53">
            <v>1.0089035407545364</v>
          </cell>
          <cell r="X53">
            <v>1.0392467706837398</v>
          </cell>
          <cell r="Y53">
            <v>1.0392467706837398</v>
          </cell>
          <cell r="Z53">
            <v>1.0392467706837398</v>
          </cell>
          <cell r="AA53">
            <v>1</v>
          </cell>
          <cell r="AB53">
            <v>1</v>
          </cell>
          <cell r="AC53">
            <v>1.0285029323285277</v>
          </cell>
          <cell r="AD53">
            <v>1.0078674051653596</v>
          </cell>
          <cell r="AE53">
            <v>1</v>
          </cell>
          <cell r="AF53">
            <v>1</v>
          </cell>
          <cell r="AG53">
            <v>1.0059305513261227</v>
          </cell>
          <cell r="AH53">
            <v>1.0218128846358479</v>
          </cell>
          <cell r="AI53">
            <v>1</v>
          </cell>
          <cell r="AJ53">
            <v>1</v>
          </cell>
          <cell r="AK53">
            <v>1.0028502142975579</v>
          </cell>
          <cell r="AL53">
            <v>1.0115981379164185</v>
          </cell>
          <cell r="AM53">
            <v>1.0218128846358479</v>
          </cell>
          <cell r="AN53">
            <v>1.0122331652565273</v>
          </cell>
          <cell r="AO53">
            <v>1.022120041592818</v>
          </cell>
          <cell r="AP53">
            <v>1.0132835619396241</v>
          </cell>
          <cell r="AQ53">
            <v>1.0319338485042324</v>
          </cell>
          <cell r="AR53">
            <v>1.0125076467035614</v>
          </cell>
          <cell r="AS53">
            <v>1.0043274590455857</v>
          </cell>
          <cell r="AT53">
            <v>1.0045637642804952</v>
          </cell>
          <cell r="AU53">
            <v>1.0000460014842358</v>
          </cell>
          <cell r="AV53">
            <v>1.0005097872634208</v>
          </cell>
          <cell r="AW53">
            <v>1.0054916944300687</v>
          </cell>
          <cell r="AX53">
            <v>1.0076570450489013</v>
          </cell>
          <cell r="AY53">
            <v>1.0089035407545364</v>
          </cell>
          <cell r="AZ53">
            <v>1.0180312623180354</v>
          </cell>
          <cell r="BA53">
            <v>1.0004951354967673</v>
          </cell>
          <cell r="BB53">
            <v>1.00044718356379</v>
          </cell>
          <cell r="BC53">
            <v>1.0108691302190507</v>
          </cell>
          <cell r="BD53">
            <v>1.0128884256747781</v>
          </cell>
          <cell r="BE53">
            <v>1.0178877583245334</v>
          </cell>
          <cell r="BF53">
            <v>1.0254569856804181</v>
          </cell>
          <cell r="BG53">
            <v>1.0279963421187182</v>
          </cell>
          <cell r="BH53">
            <v>1.0270360803698937</v>
          </cell>
          <cell r="BI53">
            <v>1.0334703674412187</v>
          </cell>
          <cell r="BJ53">
            <v>1.0230240719941381</v>
          </cell>
          <cell r="BK53">
            <v>1</v>
          </cell>
          <cell r="BL53">
            <v>1.0163579815322268</v>
          </cell>
          <cell r="BM53">
            <v>1</v>
          </cell>
          <cell r="BN53">
            <v>1.0136320088724362</v>
          </cell>
          <cell r="BO53">
            <v>1.0119968917168241</v>
          </cell>
          <cell r="BP53">
            <v>1.0076885414860139</v>
          </cell>
          <cell r="BQ53">
            <v>1.036832797129388</v>
          </cell>
          <cell r="BR53">
            <v>1.0327489605224256</v>
          </cell>
          <cell r="BS53">
            <v>1.0345972381045896</v>
          </cell>
          <cell r="BT53">
            <v>1.028281595444275</v>
          </cell>
          <cell r="BU53">
            <v>1.0192912357841906</v>
          </cell>
          <cell r="BV53">
            <v>1</v>
          </cell>
          <cell r="BW53">
            <v>1.0031179496</v>
          </cell>
          <cell r="BX53">
            <v>1.0001150407809791</v>
          </cell>
          <cell r="BY53">
            <v>1.0060266326</v>
          </cell>
          <cell r="BZ53">
            <v>1.000222360400238</v>
          </cell>
          <cell r="CA53">
            <v>1.0040454424</v>
          </cell>
          <cell r="CB53">
            <v>1.0001492618267793</v>
          </cell>
          <cell r="CC53">
            <v>1.0221572978261271</v>
          </cell>
          <cell r="CD53">
            <v>1.0322902850584628</v>
          </cell>
        </row>
        <row r="54">
          <cell r="B54">
            <v>1.0127282086088751</v>
          </cell>
          <cell r="C54">
            <v>1.0289305360777645</v>
          </cell>
          <cell r="D54">
            <v>1.0101333307307809</v>
          </cell>
          <cell r="E54">
            <v>1.0262402472381833</v>
          </cell>
          <cell r="F54">
            <v>1.0262300233668238</v>
          </cell>
          <cell r="G54">
            <v>1.024575346910052</v>
          </cell>
          <cell r="H54">
            <v>1.0385031977751435</v>
          </cell>
          <cell r="I54">
            <v>1.0385031977751435</v>
          </cell>
          <cell r="J54">
            <v>1</v>
          </cell>
          <cell r="K54">
            <v>1.0190554180171743</v>
          </cell>
          <cell r="L54">
            <v>1.0015570438407793</v>
          </cell>
          <cell r="M54">
            <v>1</v>
          </cell>
          <cell r="N54">
            <v>1.019055418017174</v>
          </cell>
          <cell r="O54">
            <v>1.0101333307307809</v>
          </cell>
          <cell r="P54">
            <v>1.0163705153541225</v>
          </cell>
          <cell r="Q54">
            <v>1.0261321279984807</v>
          </cell>
          <cell r="R54">
            <v>1</v>
          </cell>
          <cell r="S54">
            <v>1</v>
          </cell>
          <cell r="T54">
            <v>1.0030834341690293</v>
          </cell>
          <cell r="U54">
            <v>1.0154968855981215</v>
          </cell>
          <cell r="V54">
            <v>1.0285595634352034</v>
          </cell>
          <cell r="W54">
            <v>1.0089035407545364</v>
          </cell>
          <cell r="X54">
            <v>1.0392467706837398</v>
          </cell>
          <cell r="Y54">
            <v>1.0392467706837398</v>
          </cell>
          <cell r="Z54">
            <v>1.0392467706837398</v>
          </cell>
          <cell r="AA54">
            <v>1</v>
          </cell>
          <cell r="AB54">
            <v>1</v>
          </cell>
          <cell r="AC54">
            <v>1.0285029323285277</v>
          </cell>
          <cell r="AD54">
            <v>1.0078674051653596</v>
          </cell>
          <cell r="AE54">
            <v>1</v>
          </cell>
          <cell r="AF54">
            <v>1</v>
          </cell>
          <cell r="AG54">
            <v>1.0059305513261227</v>
          </cell>
          <cell r="AH54">
            <v>1.0218128846358479</v>
          </cell>
          <cell r="AI54">
            <v>1</v>
          </cell>
          <cell r="AJ54">
            <v>1</v>
          </cell>
          <cell r="AK54">
            <v>1.0028502142975579</v>
          </cell>
          <cell r="AL54">
            <v>1.0115981379164185</v>
          </cell>
          <cell r="AM54">
            <v>1.0218128846358479</v>
          </cell>
          <cell r="AN54">
            <v>1.0122331652565273</v>
          </cell>
          <cell r="AO54">
            <v>1.022120041592818</v>
          </cell>
          <cell r="AP54">
            <v>1.0132835619396241</v>
          </cell>
          <cell r="AQ54">
            <v>1.0319338485042324</v>
          </cell>
          <cell r="AR54">
            <v>1.0125076467035614</v>
          </cell>
          <cell r="AS54">
            <v>1.0043274590455857</v>
          </cell>
          <cell r="AT54">
            <v>1.0045637642804952</v>
          </cell>
          <cell r="AU54">
            <v>1.0000460014842358</v>
          </cell>
          <cell r="AV54">
            <v>1.0005097872634208</v>
          </cell>
          <cell r="AW54">
            <v>1.0054916944300687</v>
          </cell>
          <cell r="AX54">
            <v>1.0076570450489013</v>
          </cell>
          <cell r="AY54">
            <v>1.0089035407545364</v>
          </cell>
          <cell r="AZ54">
            <v>1.0180312623180354</v>
          </cell>
          <cell r="BA54">
            <v>1.0004951354967673</v>
          </cell>
          <cell r="BB54">
            <v>1.00044718356379</v>
          </cell>
          <cell r="BC54">
            <v>1.0108691302190507</v>
          </cell>
          <cell r="BD54">
            <v>1.0128884256747781</v>
          </cell>
          <cell r="BE54">
            <v>1.0178877583245334</v>
          </cell>
          <cell r="BF54">
            <v>1.0254569856804181</v>
          </cell>
          <cell r="BG54">
            <v>1.0279963421187182</v>
          </cell>
          <cell r="BH54">
            <v>1.0270360803698937</v>
          </cell>
          <cell r="BI54">
            <v>1.0334703674412187</v>
          </cell>
          <cell r="BJ54">
            <v>1.0230240719941381</v>
          </cell>
          <cell r="BK54">
            <v>1</v>
          </cell>
          <cell r="BL54">
            <v>1.0163579815322268</v>
          </cell>
          <cell r="BM54">
            <v>1</v>
          </cell>
          <cell r="BN54">
            <v>1.0136320088724362</v>
          </cell>
          <cell r="BO54">
            <v>1.0119968917168241</v>
          </cell>
          <cell r="BP54">
            <v>1.0076885414860139</v>
          </cell>
          <cell r="BQ54">
            <v>1.036832797129388</v>
          </cell>
          <cell r="BR54">
            <v>1.0327489605224256</v>
          </cell>
          <cell r="BS54">
            <v>1.0345972381045896</v>
          </cell>
          <cell r="BT54">
            <v>1.028281595444275</v>
          </cell>
          <cell r="BU54">
            <v>1.0192912357841906</v>
          </cell>
          <cell r="BV54">
            <v>1</v>
          </cell>
          <cell r="BW54">
            <v>1.0031179496</v>
          </cell>
          <cell r="BX54">
            <v>1.0001150407809791</v>
          </cell>
          <cell r="BY54">
            <v>1.0060266326</v>
          </cell>
          <cell r="BZ54">
            <v>1.000222360400238</v>
          </cell>
          <cell r="CA54">
            <v>1.0040454424</v>
          </cell>
          <cell r="CB54">
            <v>1.0001492618267793</v>
          </cell>
          <cell r="CC54">
            <v>1.0221572978261271</v>
          </cell>
          <cell r="CD54">
            <v>1.0322902850584628</v>
          </cell>
        </row>
        <row r="55">
          <cell r="B55">
            <v>1.0127282086088751</v>
          </cell>
          <cell r="C55">
            <v>1.0289305360777645</v>
          </cell>
          <cell r="D55">
            <v>1.0101333307307809</v>
          </cell>
          <cell r="E55">
            <v>1.0262402472381833</v>
          </cell>
          <cell r="F55">
            <v>1.0262300233668238</v>
          </cell>
          <cell r="G55">
            <v>1.024575346910052</v>
          </cell>
          <cell r="H55">
            <v>1.0385031977751435</v>
          </cell>
          <cell r="I55">
            <v>1.0385031977751435</v>
          </cell>
          <cell r="J55">
            <v>1</v>
          </cell>
          <cell r="K55">
            <v>1.0190554180171743</v>
          </cell>
          <cell r="L55">
            <v>1.0015570438407793</v>
          </cell>
          <cell r="M55">
            <v>1</v>
          </cell>
          <cell r="N55">
            <v>1.019055418017174</v>
          </cell>
          <cell r="O55">
            <v>1.0101333307307809</v>
          </cell>
          <cell r="P55">
            <v>1.0163705153541225</v>
          </cell>
          <cell r="Q55">
            <v>1.0261321279984807</v>
          </cell>
          <cell r="R55">
            <v>1</v>
          </cell>
          <cell r="S55">
            <v>1</v>
          </cell>
          <cell r="T55">
            <v>1.0030834341690293</v>
          </cell>
          <cell r="U55">
            <v>1.0154968855981215</v>
          </cell>
          <cell r="V55">
            <v>1.0285595634352034</v>
          </cell>
          <cell r="W55">
            <v>1.0089035407545364</v>
          </cell>
          <cell r="X55">
            <v>1.0392467706837398</v>
          </cell>
          <cell r="Y55">
            <v>1.0392467706837398</v>
          </cell>
          <cell r="Z55">
            <v>1.0392467706837398</v>
          </cell>
          <cell r="AA55">
            <v>1</v>
          </cell>
          <cell r="AB55">
            <v>1</v>
          </cell>
          <cell r="AC55">
            <v>1.0285029323285277</v>
          </cell>
          <cell r="AD55">
            <v>1.0078674051653596</v>
          </cell>
          <cell r="AE55">
            <v>1</v>
          </cell>
          <cell r="AF55">
            <v>1</v>
          </cell>
          <cell r="AG55">
            <v>1.0059305513261227</v>
          </cell>
          <cell r="AH55">
            <v>1.0218128846358479</v>
          </cell>
          <cell r="AI55">
            <v>1</v>
          </cell>
          <cell r="AJ55">
            <v>1</v>
          </cell>
          <cell r="AK55">
            <v>1.0028502142975579</v>
          </cell>
          <cell r="AL55">
            <v>1.0115981379164185</v>
          </cell>
          <cell r="AM55">
            <v>1.0218128846358479</v>
          </cell>
          <cell r="AN55">
            <v>1.0122331652565273</v>
          </cell>
          <cell r="AO55">
            <v>1.022120041592818</v>
          </cell>
          <cell r="AP55">
            <v>1.0132835619396241</v>
          </cell>
          <cell r="AQ55">
            <v>1.0319338485042324</v>
          </cell>
          <cell r="AR55">
            <v>1.0125076467035614</v>
          </cell>
          <cell r="AS55">
            <v>1.0043274590455857</v>
          </cell>
          <cell r="AT55">
            <v>1.0045637642804952</v>
          </cell>
          <cell r="AU55">
            <v>1.0000460014842358</v>
          </cell>
          <cell r="AV55">
            <v>1.0005097872634208</v>
          </cell>
          <cell r="AW55">
            <v>1.0054916944300687</v>
          </cell>
          <cell r="AX55">
            <v>1.0076570450489013</v>
          </cell>
          <cell r="AY55">
            <v>1.0089035407545364</v>
          </cell>
          <cell r="AZ55">
            <v>1.0180312623180354</v>
          </cell>
          <cell r="BA55">
            <v>1.0004951354967673</v>
          </cell>
          <cell r="BB55">
            <v>1.00044718356379</v>
          </cell>
          <cell r="BC55">
            <v>1.0108691302190507</v>
          </cell>
          <cell r="BD55">
            <v>1.0128884256747781</v>
          </cell>
          <cell r="BE55">
            <v>1.0178877583245334</v>
          </cell>
          <cell r="BF55">
            <v>1.0254569856804181</v>
          </cell>
          <cell r="BG55">
            <v>1.0279963421187182</v>
          </cell>
          <cell r="BH55">
            <v>1.0270360803698937</v>
          </cell>
          <cell r="BI55">
            <v>1.0334703674412187</v>
          </cell>
          <cell r="BJ55">
            <v>1.0230240719941381</v>
          </cell>
          <cell r="BK55">
            <v>1</v>
          </cell>
          <cell r="BL55">
            <v>1.0163579815322268</v>
          </cell>
          <cell r="BM55">
            <v>1</v>
          </cell>
          <cell r="BN55">
            <v>1.0136320088724362</v>
          </cell>
          <cell r="BO55">
            <v>1.0119968917168241</v>
          </cell>
          <cell r="BP55">
            <v>1.0076885414860139</v>
          </cell>
          <cell r="BQ55">
            <v>1.036832797129388</v>
          </cell>
          <cell r="BR55">
            <v>1.0327489605224256</v>
          </cell>
          <cell r="BS55">
            <v>1.0345972381045896</v>
          </cell>
          <cell r="BT55">
            <v>1.028281595444275</v>
          </cell>
          <cell r="BU55">
            <v>1.0192912357841906</v>
          </cell>
          <cell r="BV55">
            <v>1</v>
          </cell>
          <cell r="BW55">
            <v>1.0031179496</v>
          </cell>
          <cell r="BX55">
            <v>1.0001150407809791</v>
          </cell>
          <cell r="BY55">
            <v>1.0060266326</v>
          </cell>
          <cell r="BZ55">
            <v>1.000222360400238</v>
          </cell>
          <cell r="CA55">
            <v>1.0040454424</v>
          </cell>
          <cell r="CB55">
            <v>1.0001492618267793</v>
          </cell>
          <cell r="CC55">
            <v>1.0221572978261271</v>
          </cell>
          <cell r="CD55">
            <v>1.0322902850584628</v>
          </cell>
        </row>
        <row r="56">
          <cell r="B56">
            <v>1.0127282086088751</v>
          </cell>
          <cell r="C56">
            <v>1.0289305360777645</v>
          </cell>
          <cell r="D56">
            <v>1.0101333307307809</v>
          </cell>
          <cell r="E56">
            <v>1.0262402472381833</v>
          </cell>
          <cell r="F56">
            <v>1.0262300233668238</v>
          </cell>
          <cell r="G56">
            <v>1.024575346910052</v>
          </cell>
          <cell r="H56">
            <v>1.0385031977751435</v>
          </cell>
          <cell r="I56">
            <v>1.0385031977751435</v>
          </cell>
          <cell r="J56">
            <v>1</v>
          </cell>
          <cell r="K56">
            <v>1.0190554180171743</v>
          </cell>
          <cell r="L56">
            <v>1.0015570438407793</v>
          </cell>
          <cell r="M56">
            <v>1</v>
          </cell>
          <cell r="N56">
            <v>1.019055418017174</v>
          </cell>
          <cell r="O56">
            <v>1.0101333307307809</v>
          </cell>
          <cell r="P56">
            <v>1.0163705153541225</v>
          </cell>
          <cell r="Q56">
            <v>1.0261321279984807</v>
          </cell>
          <cell r="R56">
            <v>1</v>
          </cell>
          <cell r="S56">
            <v>1</v>
          </cell>
          <cell r="T56">
            <v>1.0030834341690293</v>
          </cell>
          <cell r="U56">
            <v>1.0154968855981215</v>
          </cell>
          <cell r="V56">
            <v>1.0285595634352034</v>
          </cell>
          <cell r="W56">
            <v>1.0089035407545364</v>
          </cell>
          <cell r="X56">
            <v>1.0392467706837398</v>
          </cell>
          <cell r="Y56">
            <v>1.0392467706837398</v>
          </cell>
          <cell r="Z56">
            <v>1.0392467706837398</v>
          </cell>
          <cell r="AA56">
            <v>1</v>
          </cell>
          <cell r="AB56">
            <v>1</v>
          </cell>
          <cell r="AC56">
            <v>1.0285029323285277</v>
          </cell>
          <cell r="AD56">
            <v>1.0078674051653596</v>
          </cell>
          <cell r="AE56">
            <v>1</v>
          </cell>
          <cell r="AF56">
            <v>1</v>
          </cell>
          <cell r="AG56">
            <v>1.0059305513261227</v>
          </cell>
          <cell r="AH56">
            <v>1.0218128846358479</v>
          </cell>
          <cell r="AI56">
            <v>1</v>
          </cell>
          <cell r="AJ56">
            <v>1</v>
          </cell>
          <cell r="AK56">
            <v>1.0028502142975579</v>
          </cell>
          <cell r="AL56">
            <v>1.0115981379164185</v>
          </cell>
          <cell r="AM56">
            <v>1.0218128846358479</v>
          </cell>
          <cell r="AN56">
            <v>1.0122331652565273</v>
          </cell>
          <cell r="AO56">
            <v>1.022120041592818</v>
          </cell>
          <cell r="AP56">
            <v>1.0132835619396241</v>
          </cell>
          <cell r="AQ56">
            <v>1.0319338485042324</v>
          </cell>
          <cell r="AR56">
            <v>1.0125076467035614</v>
          </cell>
          <cell r="AS56">
            <v>1.0043274590455857</v>
          </cell>
          <cell r="AT56">
            <v>1.0045637642804952</v>
          </cell>
          <cell r="AU56">
            <v>1.0000460014842358</v>
          </cell>
          <cell r="AV56">
            <v>1.0005097872634208</v>
          </cell>
          <cell r="AW56">
            <v>1.0054916944300687</v>
          </cell>
          <cell r="AX56">
            <v>1.0076570450489013</v>
          </cell>
          <cell r="AY56">
            <v>1.0089035407545364</v>
          </cell>
          <cell r="AZ56">
            <v>1.0180312623180354</v>
          </cell>
          <cell r="BA56">
            <v>1.0004951354967673</v>
          </cell>
          <cell r="BB56">
            <v>1.00044718356379</v>
          </cell>
          <cell r="BC56">
            <v>1.0108691302190507</v>
          </cell>
          <cell r="BD56">
            <v>1.0128884256747781</v>
          </cell>
          <cell r="BE56">
            <v>1.0178877583245334</v>
          </cell>
          <cell r="BF56">
            <v>1.0254569856804181</v>
          </cell>
          <cell r="BG56">
            <v>1.0279963421187182</v>
          </cell>
          <cell r="BH56">
            <v>1.0270360803698937</v>
          </cell>
          <cell r="BI56">
            <v>1.0334703674412187</v>
          </cell>
          <cell r="BJ56">
            <v>1.0230240719941381</v>
          </cell>
          <cell r="BK56">
            <v>1</v>
          </cell>
          <cell r="BL56">
            <v>1.0163579815322268</v>
          </cell>
          <cell r="BM56">
            <v>1</v>
          </cell>
          <cell r="BN56">
            <v>1.0136320088724362</v>
          </cell>
          <cell r="BO56">
            <v>1.0119968917168241</v>
          </cell>
          <cell r="BP56">
            <v>1.0076885414860139</v>
          </cell>
          <cell r="BQ56">
            <v>1.036832797129388</v>
          </cell>
          <cell r="BR56">
            <v>1.0327489605224256</v>
          </cell>
          <cell r="BS56">
            <v>1.0345972381045896</v>
          </cell>
          <cell r="BT56">
            <v>1.028281595444275</v>
          </cell>
          <cell r="BU56">
            <v>1.0192912357841906</v>
          </cell>
          <cell r="BV56">
            <v>1</v>
          </cell>
          <cell r="BW56">
            <v>1.0031179496</v>
          </cell>
          <cell r="BX56">
            <v>1.0001150407809791</v>
          </cell>
          <cell r="BY56">
            <v>1.0060266326</v>
          </cell>
          <cell r="BZ56">
            <v>1.000222360400238</v>
          </cell>
          <cell r="CA56">
            <v>1.0040454424</v>
          </cell>
          <cell r="CB56">
            <v>1.0001492618267793</v>
          </cell>
          <cell r="CC56">
            <v>1.0221572978261271</v>
          </cell>
          <cell r="CD56">
            <v>1.0322902850584628</v>
          </cell>
        </row>
        <row r="57">
          <cell r="B57">
            <v>1.0127282086088751</v>
          </cell>
          <cell r="C57">
            <v>1.0289305360777645</v>
          </cell>
          <cell r="D57">
            <v>1.0101333307307809</v>
          </cell>
          <cell r="E57">
            <v>1.0262402472381833</v>
          </cell>
          <cell r="F57">
            <v>1.0262300233668238</v>
          </cell>
          <cell r="G57">
            <v>1.024575346910052</v>
          </cell>
          <cell r="H57">
            <v>1.0385031977751435</v>
          </cell>
          <cell r="I57">
            <v>1.0385031977751435</v>
          </cell>
          <cell r="J57">
            <v>1</v>
          </cell>
          <cell r="K57">
            <v>1.0190554180171743</v>
          </cell>
          <cell r="L57">
            <v>1.0015570438407793</v>
          </cell>
          <cell r="M57">
            <v>1</v>
          </cell>
          <cell r="N57">
            <v>1.019055418017174</v>
          </cell>
          <cell r="O57">
            <v>1.0101333307307809</v>
          </cell>
          <cell r="P57">
            <v>1.0163705153541225</v>
          </cell>
          <cell r="Q57">
            <v>1.0261321279984807</v>
          </cell>
          <cell r="R57">
            <v>1</v>
          </cell>
          <cell r="S57">
            <v>1</v>
          </cell>
          <cell r="T57">
            <v>1.0030834341690293</v>
          </cell>
          <cell r="U57">
            <v>1.0154968855981215</v>
          </cell>
          <cell r="V57">
            <v>1.0285595634352034</v>
          </cell>
          <cell r="W57">
            <v>1.0089035407545364</v>
          </cell>
          <cell r="X57">
            <v>1.0392467706837398</v>
          </cell>
          <cell r="Y57">
            <v>1.0392467706837398</v>
          </cell>
          <cell r="Z57">
            <v>1.0392467706837398</v>
          </cell>
          <cell r="AA57">
            <v>1</v>
          </cell>
          <cell r="AB57">
            <v>1</v>
          </cell>
          <cell r="AC57">
            <v>1.0285029323285277</v>
          </cell>
          <cell r="AD57">
            <v>1.0078674051653596</v>
          </cell>
          <cell r="AE57">
            <v>1</v>
          </cell>
          <cell r="AF57">
            <v>1</v>
          </cell>
          <cell r="AG57">
            <v>1.0059305513261227</v>
          </cell>
          <cell r="AH57">
            <v>1.0218128846358479</v>
          </cell>
          <cell r="AI57">
            <v>1</v>
          </cell>
          <cell r="AJ57">
            <v>1</v>
          </cell>
          <cell r="AK57">
            <v>1.0028502142975579</v>
          </cell>
          <cell r="AL57">
            <v>1.0115981379164185</v>
          </cell>
          <cell r="AM57">
            <v>1.0218128846358479</v>
          </cell>
          <cell r="AN57">
            <v>1.0122331652565273</v>
          </cell>
          <cell r="AO57">
            <v>1.022120041592818</v>
          </cell>
          <cell r="AP57">
            <v>1.0132835619396241</v>
          </cell>
          <cell r="AQ57">
            <v>1.0319338485042324</v>
          </cell>
          <cell r="AR57">
            <v>1.0125076467035614</v>
          </cell>
          <cell r="AS57">
            <v>1.0043274590455857</v>
          </cell>
          <cell r="AT57">
            <v>1.0045637642804952</v>
          </cell>
          <cell r="AU57">
            <v>1.0000460014842358</v>
          </cell>
          <cell r="AV57">
            <v>1.0005097872634208</v>
          </cell>
          <cell r="AW57">
            <v>1.0054916944300687</v>
          </cell>
          <cell r="AX57">
            <v>1.0076570450489013</v>
          </cell>
          <cell r="AY57">
            <v>1.0089035407545364</v>
          </cell>
          <cell r="AZ57">
            <v>1.0180312623180354</v>
          </cell>
          <cell r="BA57">
            <v>1.0004951354967673</v>
          </cell>
          <cell r="BB57">
            <v>1.00044718356379</v>
          </cell>
          <cell r="BC57">
            <v>1.0108691302190507</v>
          </cell>
          <cell r="BD57">
            <v>1.0128884256747781</v>
          </cell>
          <cell r="BE57">
            <v>1.0178877583245334</v>
          </cell>
          <cell r="BF57">
            <v>1.0254569856804181</v>
          </cell>
          <cell r="BG57">
            <v>1.0279963421187182</v>
          </cell>
          <cell r="BH57">
            <v>1.0270360803698937</v>
          </cell>
          <cell r="BI57">
            <v>1.0334703674412187</v>
          </cell>
          <cell r="BJ57">
            <v>1.0230240719941381</v>
          </cell>
          <cell r="BK57">
            <v>1</v>
          </cell>
          <cell r="BL57">
            <v>1.0163579815322268</v>
          </cell>
          <cell r="BM57">
            <v>1</v>
          </cell>
          <cell r="BN57">
            <v>1.0136320088724362</v>
          </cell>
          <cell r="BO57">
            <v>1.0119968917168241</v>
          </cell>
          <cell r="BP57">
            <v>1.0076885414860139</v>
          </cell>
          <cell r="BQ57">
            <v>1.036832797129388</v>
          </cell>
          <cell r="BR57">
            <v>1.0327489605224256</v>
          </cell>
          <cell r="BS57">
            <v>1.0345972381045896</v>
          </cell>
          <cell r="BT57">
            <v>1.028281595444275</v>
          </cell>
          <cell r="BU57">
            <v>1.0192912357841906</v>
          </cell>
          <cell r="BV57">
            <v>1</v>
          </cell>
          <cell r="BW57">
            <v>1.0031179496</v>
          </cell>
          <cell r="BX57">
            <v>1.0001150407809791</v>
          </cell>
          <cell r="BY57">
            <v>1.0060266326</v>
          </cell>
          <cell r="BZ57">
            <v>1.000222360400238</v>
          </cell>
          <cell r="CA57">
            <v>1.0040454424</v>
          </cell>
          <cell r="CB57">
            <v>1.0001492618267793</v>
          </cell>
          <cell r="CC57">
            <v>1.0221572978261271</v>
          </cell>
          <cell r="CD57">
            <v>1.0322902850584628</v>
          </cell>
        </row>
        <row r="58">
          <cell r="B58">
            <v>1.0127282086088751</v>
          </cell>
          <cell r="C58">
            <v>1.0289305360777645</v>
          </cell>
          <cell r="D58">
            <v>1.0101333307307809</v>
          </cell>
          <cell r="E58">
            <v>1.0262402472381833</v>
          </cell>
          <cell r="F58">
            <v>1.0262300233668238</v>
          </cell>
          <cell r="G58">
            <v>1.024575346910052</v>
          </cell>
          <cell r="H58">
            <v>1.0385031977751435</v>
          </cell>
          <cell r="I58">
            <v>1.0385031977751435</v>
          </cell>
          <cell r="J58">
            <v>1</v>
          </cell>
          <cell r="K58">
            <v>1.0190554180171743</v>
          </cell>
          <cell r="L58">
            <v>1.0015570438407793</v>
          </cell>
          <cell r="M58">
            <v>1</v>
          </cell>
          <cell r="N58">
            <v>1.019055418017174</v>
          </cell>
          <cell r="O58">
            <v>1.0101333307307809</v>
          </cell>
          <cell r="P58">
            <v>1.0163705153541225</v>
          </cell>
          <cell r="Q58">
            <v>1.0261321279984807</v>
          </cell>
          <cell r="R58">
            <v>1</v>
          </cell>
          <cell r="S58">
            <v>1</v>
          </cell>
          <cell r="T58">
            <v>1.0030834341690293</v>
          </cell>
          <cell r="U58">
            <v>1.0154968855981215</v>
          </cell>
          <cell r="V58">
            <v>1.0285595634352034</v>
          </cell>
          <cell r="W58">
            <v>1.0089035407545364</v>
          </cell>
          <cell r="X58">
            <v>1.0392467706837398</v>
          </cell>
          <cell r="Y58">
            <v>1.0392467706837398</v>
          </cell>
          <cell r="Z58">
            <v>1.0392467706837398</v>
          </cell>
          <cell r="AA58">
            <v>1</v>
          </cell>
          <cell r="AB58">
            <v>1</v>
          </cell>
          <cell r="AC58">
            <v>1.0285029323285277</v>
          </cell>
          <cell r="AD58">
            <v>1.0078674051653596</v>
          </cell>
          <cell r="AE58">
            <v>1</v>
          </cell>
          <cell r="AF58">
            <v>1</v>
          </cell>
          <cell r="AG58">
            <v>1.0059305513261227</v>
          </cell>
          <cell r="AH58">
            <v>1.0218128846358479</v>
          </cell>
          <cell r="AI58">
            <v>1</v>
          </cell>
          <cell r="AJ58">
            <v>1</v>
          </cell>
          <cell r="AK58">
            <v>1.0028502142975579</v>
          </cell>
          <cell r="AL58">
            <v>1.0115981379164185</v>
          </cell>
          <cell r="AM58">
            <v>1.0218128846358479</v>
          </cell>
          <cell r="AN58">
            <v>1.0122331652565273</v>
          </cell>
          <cell r="AO58">
            <v>1.022120041592818</v>
          </cell>
          <cell r="AP58">
            <v>1.0132835619396241</v>
          </cell>
          <cell r="AQ58">
            <v>1.0319338485042324</v>
          </cell>
          <cell r="AR58">
            <v>1.0125076467035614</v>
          </cell>
          <cell r="AS58">
            <v>1.0043274590455857</v>
          </cell>
          <cell r="AT58">
            <v>1.0045637642804952</v>
          </cell>
          <cell r="AU58">
            <v>1.0000460014842358</v>
          </cell>
          <cell r="AV58">
            <v>1.0005097872634208</v>
          </cell>
          <cell r="AW58">
            <v>1.0054916944300687</v>
          </cell>
          <cell r="AX58">
            <v>1.0076570450489013</v>
          </cell>
          <cell r="AY58">
            <v>1.0089035407545364</v>
          </cell>
          <cell r="AZ58">
            <v>1.0180312623180354</v>
          </cell>
          <cell r="BA58">
            <v>1.0004951354967673</v>
          </cell>
          <cell r="BB58">
            <v>1.00044718356379</v>
          </cell>
          <cell r="BC58">
            <v>1.0108691302190507</v>
          </cell>
          <cell r="BD58">
            <v>1.0128884256747781</v>
          </cell>
          <cell r="BE58">
            <v>1.0178877583245334</v>
          </cell>
          <cell r="BF58">
            <v>1.0254569856804181</v>
          </cell>
          <cell r="BG58">
            <v>1.0279963421187182</v>
          </cell>
          <cell r="BH58">
            <v>1.0270360803698937</v>
          </cell>
          <cell r="BI58">
            <v>1.0334703674412187</v>
          </cell>
          <cell r="BJ58">
            <v>1.0230240719941381</v>
          </cell>
          <cell r="BK58">
            <v>1</v>
          </cell>
          <cell r="BL58">
            <v>1.0163579815322268</v>
          </cell>
          <cell r="BM58">
            <v>1</v>
          </cell>
          <cell r="BN58">
            <v>1.0136320088724362</v>
          </cell>
          <cell r="BO58">
            <v>1.0119968917168241</v>
          </cell>
          <cell r="BP58">
            <v>1.0076885414860139</v>
          </cell>
          <cell r="BQ58">
            <v>1.036832797129388</v>
          </cell>
          <cell r="BR58">
            <v>1.0327489605224256</v>
          </cell>
          <cell r="BS58">
            <v>1.0345972381045896</v>
          </cell>
          <cell r="BT58">
            <v>1.028281595444275</v>
          </cell>
          <cell r="BU58">
            <v>1.0192912357841906</v>
          </cell>
          <cell r="BV58">
            <v>1</v>
          </cell>
          <cell r="BW58">
            <v>1.0031179496</v>
          </cell>
          <cell r="BX58">
            <v>1.0001150407809791</v>
          </cell>
          <cell r="BY58">
            <v>1.0060266326</v>
          </cell>
          <cell r="BZ58">
            <v>1.000222360400238</v>
          </cell>
          <cell r="CA58">
            <v>1.0040454424</v>
          </cell>
          <cell r="CB58">
            <v>1.0001492618267793</v>
          </cell>
          <cell r="CC58">
            <v>1.0221572978261271</v>
          </cell>
          <cell r="CD58">
            <v>1.0322902850584628</v>
          </cell>
        </row>
        <row r="59">
          <cell r="B59">
            <v>1.0127282086088751</v>
          </cell>
          <cell r="C59">
            <v>1.0289305360777645</v>
          </cell>
          <cell r="D59">
            <v>1.0101333307307809</v>
          </cell>
          <cell r="E59">
            <v>1.0262402472381833</v>
          </cell>
          <cell r="F59">
            <v>1.0262300233668238</v>
          </cell>
          <cell r="G59">
            <v>1.024575346910052</v>
          </cell>
          <cell r="H59">
            <v>1.0385031977751435</v>
          </cell>
          <cell r="I59">
            <v>1.0385031977751435</v>
          </cell>
          <cell r="J59">
            <v>1</v>
          </cell>
          <cell r="K59">
            <v>1.0190554180171743</v>
          </cell>
          <cell r="L59">
            <v>1.0015570438407793</v>
          </cell>
          <cell r="M59">
            <v>1</v>
          </cell>
          <cell r="N59">
            <v>1.019055418017174</v>
          </cell>
          <cell r="O59">
            <v>1.0101333307307809</v>
          </cell>
          <cell r="P59">
            <v>1.0163705153541225</v>
          </cell>
          <cell r="Q59">
            <v>1.0261321279984807</v>
          </cell>
          <cell r="R59">
            <v>1</v>
          </cell>
          <cell r="S59">
            <v>1</v>
          </cell>
          <cell r="T59">
            <v>1.0030834341690293</v>
          </cell>
          <cell r="U59">
            <v>1.0154968855981215</v>
          </cell>
          <cell r="V59">
            <v>1.0285595634352034</v>
          </cell>
          <cell r="W59">
            <v>1.0089035407545364</v>
          </cell>
          <cell r="X59">
            <v>1.0392467706837398</v>
          </cell>
          <cell r="Y59">
            <v>1.0392467706837398</v>
          </cell>
          <cell r="Z59">
            <v>1.0392467706837398</v>
          </cell>
          <cell r="AA59">
            <v>1</v>
          </cell>
          <cell r="AB59">
            <v>1</v>
          </cell>
          <cell r="AC59">
            <v>1.0285029323285277</v>
          </cell>
          <cell r="AD59">
            <v>1.0078674051653596</v>
          </cell>
          <cell r="AE59">
            <v>1</v>
          </cell>
          <cell r="AF59">
            <v>1</v>
          </cell>
          <cell r="AG59">
            <v>1.0059305513261227</v>
          </cell>
          <cell r="AH59">
            <v>1.0218128846358479</v>
          </cell>
          <cell r="AI59">
            <v>1</v>
          </cell>
          <cell r="AJ59">
            <v>1</v>
          </cell>
          <cell r="AK59">
            <v>1.0028502142975579</v>
          </cell>
          <cell r="AL59">
            <v>1.0115981379164185</v>
          </cell>
          <cell r="AM59">
            <v>1.0218128846358479</v>
          </cell>
          <cell r="AN59">
            <v>1.0122331652565273</v>
          </cell>
          <cell r="AO59">
            <v>1.022120041592818</v>
          </cell>
          <cell r="AP59">
            <v>1.0132835619396241</v>
          </cell>
          <cell r="AQ59">
            <v>1.0319338485042324</v>
          </cell>
          <cell r="AR59">
            <v>1.0125076467035614</v>
          </cell>
          <cell r="AS59">
            <v>1.0043274590455857</v>
          </cell>
          <cell r="AT59">
            <v>1.0045637642804952</v>
          </cell>
          <cell r="AU59">
            <v>1.0000460014842358</v>
          </cell>
          <cell r="AV59">
            <v>1.0005097872634208</v>
          </cell>
          <cell r="AW59">
            <v>1.0054916944300687</v>
          </cell>
          <cell r="AX59">
            <v>1.0076570450489013</v>
          </cell>
          <cell r="AY59">
            <v>1.0089035407545364</v>
          </cell>
          <cell r="AZ59">
            <v>1.0180312623180354</v>
          </cell>
          <cell r="BA59">
            <v>1.0004951354967673</v>
          </cell>
          <cell r="BB59">
            <v>1.00044718356379</v>
          </cell>
          <cell r="BC59">
            <v>1.0108691302190507</v>
          </cell>
          <cell r="BD59">
            <v>1.0128884256747781</v>
          </cell>
          <cell r="BE59">
            <v>1.0178877583245334</v>
          </cell>
          <cell r="BF59">
            <v>1.0254569856804181</v>
          </cell>
          <cell r="BG59">
            <v>1.0279963421187182</v>
          </cell>
          <cell r="BH59">
            <v>1.0270360803698937</v>
          </cell>
          <cell r="BI59">
            <v>1.0334703674412187</v>
          </cell>
          <cell r="BJ59">
            <v>1.0230240719941381</v>
          </cell>
          <cell r="BK59">
            <v>1</v>
          </cell>
          <cell r="BL59">
            <v>1.0163579815322268</v>
          </cell>
          <cell r="BM59">
            <v>1</v>
          </cell>
          <cell r="BN59">
            <v>1.0136320088724362</v>
          </cell>
          <cell r="BO59">
            <v>1.0119968917168241</v>
          </cell>
          <cell r="BP59">
            <v>1.0076885414860139</v>
          </cell>
          <cell r="BQ59">
            <v>1.036832797129388</v>
          </cell>
          <cell r="BR59">
            <v>1.0327489605224256</v>
          </cell>
          <cell r="BS59">
            <v>1.0345972381045896</v>
          </cell>
          <cell r="BT59">
            <v>1.028281595444275</v>
          </cell>
          <cell r="BU59">
            <v>1.0192912357841906</v>
          </cell>
          <cell r="BV59">
            <v>1</v>
          </cell>
          <cell r="BW59">
            <v>1.0031179496</v>
          </cell>
          <cell r="BX59">
            <v>1.0001150407809791</v>
          </cell>
          <cell r="BY59">
            <v>1.0060266326</v>
          </cell>
          <cell r="BZ59">
            <v>1.000222360400238</v>
          </cell>
          <cell r="CA59">
            <v>1.0040454424</v>
          </cell>
          <cell r="CB59">
            <v>1.0001492618267793</v>
          </cell>
          <cell r="CC59">
            <v>1.0221572978261271</v>
          </cell>
          <cell r="CD59">
            <v>1.0322902850584628</v>
          </cell>
        </row>
        <row r="60">
          <cell r="B60">
            <v>1.0127282086088751</v>
          </cell>
          <cell r="C60">
            <v>1.0289305360777645</v>
          </cell>
          <cell r="D60">
            <v>1.0101333307307809</v>
          </cell>
          <cell r="E60">
            <v>1.0262402472381833</v>
          </cell>
          <cell r="F60">
            <v>1.0262300233668238</v>
          </cell>
          <cell r="G60">
            <v>1.024575346910052</v>
          </cell>
          <cell r="H60">
            <v>1.0385031977751435</v>
          </cell>
          <cell r="I60">
            <v>1.0385031977751435</v>
          </cell>
          <cell r="J60">
            <v>1</v>
          </cell>
          <cell r="K60">
            <v>1.0190554180171743</v>
          </cell>
          <cell r="L60">
            <v>1.0015570438407793</v>
          </cell>
          <cell r="M60">
            <v>1</v>
          </cell>
          <cell r="N60">
            <v>1.019055418017174</v>
          </cell>
          <cell r="O60">
            <v>1.0101333307307809</v>
          </cell>
          <cell r="P60">
            <v>1.0163705153541225</v>
          </cell>
          <cell r="Q60">
            <v>1.0261321279984807</v>
          </cell>
          <cell r="R60">
            <v>1</v>
          </cell>
          <cell r="S60">
            <v>1</v>
          </cell>
          <cell r="T60">
            <v>1.0030834341690293</v>
          </cell>
          <cell r="U60">
            <v>1.0154968855981215</v>
          </cell>
          <cell r="V60">
            <v>1.0285595634352034</v>
          </cell>
          <cell r="W60">
            <v>1.0089035407545364</v>
          </cell>
          <cell r="X60">
            <v>1.0392467706837398</v>
          </cell>
          <cell r="Y60">
            <v>1.0392467706837398</v>
          </cell>
          <cell r="Z60">
            <v>1.0392467706837398</v>
          </cell>
          <cell r="AA60">
            <v>1</v>
          </cell>
          <cell r="AB60">
            <v>1</v>
          </cell>
          <cell r="AC60">
            <v>1.0285029323285277</v>
          </cell>
          <cell r="AD60">
            <v>1.0078674051653596</v>
          </cell>
          <cell r="AE60">
            <v>1</v>
          </cell>
          <cell r="AF60">
            <v>1</v>
          </cell>
          <cell r="AG60">
            <v>1.0059305513261227</v>
          </cell>
          <cell r="AH60">
            <v>1.0218128846358479</v>
          </cell>
          <cell r="AI60">
            <v>1</v>
          </cell>
          <cell r="AJ60">
            <v>1</v>
          </cell>
          <cell r="AK60">
            <v>1.0028502142975579</v>
          </cell>
          <cell r="AL60">
            <v>1.0115981379164185</v>
          </cell>
          <cell r="AM60">
            <v>1.0218128846358479</v>
          </cell>
          <cell r="AN60">
            <v>1.0122331652565273</v>
          </cell>
          <cell r="AO60">
            <v>1.022120041592818</v>
          </cell>
          <cell r="AP60">
            <v>1.0132835619396241</v>
          </cell>
          <cell r="AQ60">
            <v>1.0319338485042324</v>
          </cell>
          <cell r="AR60">
            <v>1.0125076467035614</v>
          </cell>
          <cell r="AS60">
            <v>1.0043274590455857</v>
          </cell>
          <cell r="AT60">
            <v>1.0045637642804952</v>
          </cell>
          <cell r="AU60">
            <v>1.0000460014842358</v>
          </cell>
          <cell r="AV60">
            <v>1.0005097872634208</v>
          </cell>
          <cell r="AW60">
            <v>1.0054916944300687</v>
          </cell>
          <cell r="AX60">
            <v>1.0076570450489013</v>
          </cell>
          <cell r="AY60">
            <v>1.0089035407545364</v>
          </cell>
          <cell r="AZ60">
            <v>1.0180312623180354</v>
          </cell>
          <cell r="BA60">
            <v>1.0004951354967673</v>
          </cell>
          <cell r="BB60">
            <v>1.00044718356379</v>
          </cell>
          <cell r="BC60">
            <v>1.0108691302190507</v>
          </cell>
          <cell r="BD60">
            <v>1.0128884256747781</v>
          </cell>
          <cell r="BE60">
            <v>1.0178877583245334</v>
          </cell>
          <cell r="BF60">
            <v>1.0254569856804181</v>
          </cell>
          <cell r="BG60">
            <v>1.0279963421187182</v>
          </cell>
          <cell r="BH60">
            <v>1.0270360803698937</v>
          </cell>
          <cell r="BI60">
            <v>1.0334703674412187</v>
          </cell>
          <cell r="BJ60">
            <v>1.0230240719941381</v>
          </cell>
          <cell r="BK60">
            <v>1</v>
          </cell>
          <cell r="BL60">
            <v>1.0163579815322268</v>
          </cell>
          <cell r="BM60">
            <v>1</v>
          </cell>
          <cell r="BN60">
            <v>1.0136320088724362</v>
          </cell>
          <cell r="BO60">
            <v>1.0119968917168241</v>
          </cell>
          <cell r="BP60">
            <v>1.0076885414860139</v>
          </cell>
          <cell r="BQ60">
            <v>1.036832797129388</v>
          </cell>
          <cell r="BR60">
            <v>1.0327489605224256</v>
          </cell>
          <cell r="BS60">
            <v>1.0345972381045896</v>
          </cell>
          <cell r="BT60">
            <v>1.028281595444275</v>
          </cell>
          <cell r="BU60">
            <v>1.0192912357841906</v>
          </cell>
          <cell r="BV60">
            <v>1</v>
          </cell>
          <cell r="BW60">
            <v>1.0031179496</v>
          </cell>
          <cell r="BX60">
            <v>1.0001150407809791</v>
          </cell>
          <cell r="BY60">
            <v>1.0060266326</v>
          </cell>
          <cell r="BZ60">
            <v>1.000222360400238</v>
          </cell>
          <cell r="CA60">
            <v>1.0040454424</v>
          </cell>
          <cell r="CB60">
            <v>1.0001492618267793</v>
          </cell>
          <cell r="CC60">
            <v>1.0221572978261271</v>
          </cell>
          <cell r="CD60">
            <v>1.0322902850584628</v>
          </cell>
        </row>
        <row r="61">
          <cell r="B61">
            <v>1.0127282086088751</v>
          </cell>
          <cell r="C61">
            <v>1.0289305360777645</v>
          </cell>
          <cell r="D61">
            <v>1.0101333307307809</v>
          </cell>
          <cell r="E61">
            <v>1.0262402472381833</v>
          </cell>
          <cell r="F61">
            <v>1.0262300233668238</v>
          </cell>
          <cell r="G61">
            <v>1.024575346910052</v>
          </cell>
          <cell r="H61">
            <v>1.0385031977751435</v>
          </cell>
          <cell r="I61">
            <v>1.0385031977751435</v>
          </cell>
          <cell r="J61">
            <v>1</v>
          </cell>
          <cell r="K61">
            <v>1.0190554180171743</v>
          </cell>
          <cell r="L61">
            <v>1.0015570438407793</v>
          </cell>
          <cell r="M61">
            <v>1</v>
          </cell>
          <cell r="N61">
            <v>1.019055418017174</v>
          </cell>
          <cell r="O61">
            <v>1.0101333307307809</v>
          </cell>
          <cell r="P61">
            <v>1.0163705153541225</v>
          </cell>
          <cell r="Q61">
            <v>1.0261321279984807</v>
          </cell>
          <cell r="R61">
            <v>1</v>
          </cell>
          <cell r="S61">
            <v>1</v>
          </cell>
          <cell r="T61">
            <v>1.0030834341690293</v>
          </cell>
          <cell r="U61">
            <v>1.0154968855981215</v>
          </cell>
          <cell r="V61">
            <v>1.0285595634352034</v>
          </cell>
          <cell r="W61">
            <v>1.0089035407545364</v>
          </cell>
          <cell r="X61">
            <v>1.0392467706837398</v>
          </cell>
          <cell r="Y61">
            <v>1.0392467706837398</v>
          </cell>
          <cell r="Z61">
            <v>1.0392467706837398</v>
          </cell>
          <cell r="AA61">
            <v>1</v>
          </cell>
          <cell r="AB61">
            <v>1</v>
          </cell>
          <cell r="AC61">
            <v>1.0285029323285277</v>
          </cell>
          <cell r="AD61">
            <v>1.0078674051653596</v>
          </cell>
          <cell r="AE61">
            <v>1</v>
          </cell>
          <cell r="AF61">
            <v>1</v>
          </cell>
          <cell r="AG61">
            <v>1.0059305513261227</v>
          </cell>
          <cell r="AH61">
            <v>1.0218128846358479</v>
          </cell>
          <cell r="AI61">
            <v>1</v>
          </cell>
          <cell r="AJ61">
            <v>1</v>
          </cell>
          <cell r="AK61">
            <v>1.0028502142975579</v>
          </cell>
          <cell r="AL61">
            <v>1.0115981379164185</v>
          </cell>
          <cell r="AM61">
            <v>1.0218128846358479</v>
          </cell>
          <cell r="AN61">
            <v>1.0122331652565273</v>
          </cell>
          <cell r="AO61">
            <v>1.022120041592818</v>
          </cell>
          <cell r="AP61">
            <v>1.0132835619396241</v>
          </cell>
          <cell r="AQ61">
            <v>1.0319338485042324</v>
          </cell>
          <cell r="AR61">
            <v>1.0125076467035614</v>
          </cell>
          <cell r="AS61">
            <v>1.0043274590455857</v>
          </cell>
          <cell r="AT61">
            <v>1.0045637642804952</v>
          </cell>
          <cell r="AU61">
            <v>1.0000460014842358</v>
          </cell>
          <cell r="AV61">
            <v>1.0005097872634208</v>
          </cell>
          <cell r="AW61">
            <v>1.0054916944300687</v>
          </cell>
          <cell r="AX61">
            <v>1.0076570450489013</v>
          </cell>
          <cell r="AY61">
            <v>1.0089035407545364</v>
          </cell>
          <cell r="AZ61">
            <v>1.0180312623180354</v>
          </cell>
          <cell r="BA61">
            <v>1.0004951354967673</v>
          </cell>
          <cell r="BB61">
            <v>1.00044718356379</v>
          </cell>
          <cell r="BC61">
            <v>1.0108691302190507</v>
          </cell>
          <cell r="BD61">
            <v>1.0128884256747781</v>
          </cell>
          <cell r="BE61">
            <v>1.0178877583245334</v>
          </cell>
          <cell r="BF61">
            <v>1.0254569856804181</v>
          </cell>
          <cell r="BG61">
            <v>1.0279963421187182</v>
          </cell>
          <cell r="BH61">
            <v>1.0270360803698937</v>
          </cell>
          <cell r="BI61">
            <v>1.0334703674412187</v>
          </cell>
          <cell r="BJ61">
            <v>1.0230240719941381</v>
          </cell>
          <cell r="BK61">
            <v>1</v>
          </cell>
          <cell r="BL61">
            <v>1.0163579815322268</v>
          </cell>
          <cell r="BM61">
            <v>1</v>
          </cell>
          <cell r="BN61">
            <v>1.0136320088724362</v>
          </cell>
          <cell r="BO61">
            <v>1.0119968917168241</v>
          </cell>
          <cell r="BP61">
            <v>1.0076885414860139</v>
          </cell>
          <cell r="BQ61">
            <v>1.036832797129388</v>
          </cell>
          <cell r="BR61">
            <v>1.0327489605224256</v>
          </cell>
          <cell r="BS61">
            <v>1.0345972381045896</v>
          </cell>
          <cell r="BT61">
            <v>1.028281595444275</v>
          </cell>
          <cell r="BU61">
            <v>1.0192912357841906</v>
          </cell>
          <cell r="BV61">
            <v>1</v>
          </cell>
          <cell r="BW61">
            <v>1.0031179496</v>
          </cell>
          <cell r="BX61">
            <v>1.0001150407809791</v>
          </cell>
          <cell r="BY61">
            <v>1.0060266326</v>
          </cell>
          <cell r="BZ61">
            <v>1.000222360400238</v>
          </cell>
          <cell r="CA61">
            <v>1.0040454424</v>
          </cell>
          <cell r="CB61">
            <v>1.0001492618267793</v>
          </cell>
          <cell r="CC61">
            <v>1.0221572978261271</v>
          </cell>
          <cell r="CD61">
            <v>1.0322902850584628</v>
          </cell>
        </row>
        <row r="62">
          <cell r="B62">
            <v>1.0127282086088751</v>
          </cell>
          <cell r="C62">
            <v>1.0289305360777645</v>
          </cell>
          <cell r="D62">
            <v>1.0101333307307809</v>
          </cell>
          <cell r="E62">
            <v>1.0262402472381833</v>
          </cell>
          <cell r="F62">
            <v>1.0262300233668238</v>
          </cell>
          <cell r="G62">
            <v>1.024575346910052</v>
          </cell>
          <cell r="H62">
            <v>1.0385031977751435</v>
          </cell>
          <cell r="I62">
            <v>1.0385031977751435</v>
          </cell>
          <cell r="J62">
            <v>1</v>
          </cell>
          <cell r="K62">
            <v>1.0190554180171743</v>
          </cell>
          <cell r="L62">
            <v>1.0015570438407793</v>
          </cell>
          <cell r="M62">
            <v>1</v>
          </cell>
          <cell r="N62">
            <v>1.019055418017174</v>
          </cell>
          <cell r="O62">
            <v>1.0101333307307809</v>
          </cell>
          <cell r="P62">
            <v>1.0163705153541225</v>
          </cell>
          <cell r="Q62">
            <v>1.0261321279984807</v>
          </cell>
          <cell r="R62">
            <v>1</v>
          </cell>
          <cell r="S62">
            <v>1</v>
          </cell>
          <cell r="T62">
            <v>1.0030834341690293</v>
          </cell>
          <cell r="U62">
            <v>1.0154968855981215</v>
          </cell>
          <cell r="V62">
            <v>1.0285595634352034</v>
          </cell>
          <cell r="W62">
            <v>1.0089035407545364</v>
          </cell>
          <cell r="X62">
            <v>1.0392467706837398</v>
          </cell>
          <cell r="Y62">
            <v>1.0392467706837398</v>
          </cell>
          <cell r="Z62">
            <v>1.0392467706837398</v>
          </cell>
          <cell r="AA62">
            <v>1</v>
          </cell>
          <cell r="AB62">
            <v>1</v>
          </cell>
          <cell r="AC62">
            <v>1.0285029323285277</v>
          </cell>
          <cell r="AD62">
            <v>1.0078674051653596</v>
          </cell>
          <cell r="AE62">
            <v>1</v>
          </cell>
          <cell r="AF62">
            <v>1</v>
          </cell>
          <cell r="AG62">
            <v>1.0059305513261227</v>
          </cell>
          <cell r="AH62">
            <v>1.0218128846358479</v>
          </cell>
          <cell r="AI62">
            <v>1</v>
          </cell>
          <cell r="AJ62">
            <v>1</v>
          </cell>
          <cell r="AK62">
            <v>1.0028502142975579</v>
          </cell>
          <cell r="AL62">
            <v>1.0115981379164185</v>
          </cell>
          <cell r="AM62">
            <v>1.0218128846358479</v>
          </cell>
          <cell r="AN62">
            <v>1.0122331652565273</v>
          </cell>
          <cell r="AO62">
            <v>1.022120041592818</v>
          </cell>
          <cell r="AP62">
            <v>1.0132835619396241</v>
          </cell>
          <cell r="AQ62">
            <v>1.0319338485042324</v>
          </cell>
          <cell r="AR62">
            <v>1.0125076467035614</v>
          </cell>
          <cell r="AS62">
            <v>1.0043274590455857</v>
          </cell>
          <cell r="AT62">
            <v>1.0045637642804952</v>
          </cell>
          <cell r="AU62">
            <v>1.0000460014842358</v>
          </cell>
          <cell r="AV62">
            <v>1.0005097872634208</v>
          </cell>
          <cell r="AW62">
            <v>1.0054916944300687</v>
          </cell>
          <cell r="AX62">
            <v>1.0076570450489013</v>
          </cell>
          <cell r="AY62">
            <v>1.0089035407545364</v>
          </cell>
          <cell r="AZ62">
            <v>1.0180312623180354</v>
          </cell>
          <cell r="BA62">
            <v>1.0004951354967673</v>
          </cell>
          <cell r="BB62">
            <v>1.00044718356379</v>
          </cell>
          <cell r="BC62">
            <v>1.0108691302190507</v>
          </cell>
          <cell r="BD62">
            <v>1.0128884256747781</v>
          </cell>
          <cell r="BE62">
            <v>1.0178877583245334</v>
          </cell>
          <cell r="BF62">
            <v>1.0254569856804181</v>
          </cell>
          <cell r="BG62">
            <v>1.0279963421187182</v>
          </cell>
          <cell r="BH62">
            <v>1.0270360803698937</v>
          </cell>
          <cell r="BI62">
            <v>1.0334703674412187</v>
          </cell>
          <cell r="BJ62">
            <v>1.0230240719941381</v>
          </cell>
          <cell r="BK62">
            <v>1</v>
          </cell>
          <cell r="BL62">
            <v>1.0163579815322268</v>
          </cell>
          <cell r="BM62">
            <v>1</v>
          </cell>
          <cell r="BN62">
            <v>1.0136320088724362</v>
          </cell>
          <cell r="BO62">
            <v>1.0119968917168241</v>
          </cell>
          <cell r="BP62">
            <v>1.0076885414860139</v>
          </cell>
          <cell r="BQ62">
            <v>1.036832797129388</v>
          </cell>
          <cell r="BR62">
            <v>1.0327489605224256</v>
          </cell>
          <cell r="BS62">
            <v>1.0345972381045896</v>
          </cell>
          <cell r="BT62">
            <v>1.028281595444275</v>
          </cell>
          <cell r="BU62">
            <v>1.0192912357841906</v>
          </cell>
          <cell r="BV62">
            <v>1</v>
          </cell>
          <cell r="BW62">
            <v>1.0031179496</v>
          </cell>
          <cell r="BX62">
            <v>1.0001150407809791</v>
          </cell>
          <cell r="BY62">
            <v>1.0060266326</v>
          </cell>
          <cell r="BZ62">
            <v>1.000222360400238</v>
          </cell>
          <cell r="CA62">
            <v>1.0040454424</v>
          </cell>
          <cell r="CB62">
            <v>1.0001492618267793</v>
          </cell>
          <cell r="CC62">
            <v>1.0221572978261271</v>
          </cell>
          <cell r="CD62">
            <v>1.0322902850584628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ev Sheet"/>
      <sheetName val="Ref Sheet"/>
      <sheetName val="Notes &amp; Instr"/>
      <sheetName val="Inputs"/>
      <sheetName val="Profile"/>
      <sheetName val="Cp"/>
      <sheetName val="Cwl"/>
      <sheetName val="CWD"/>
      <sheetName val="CMUpr"/>
      <sheetName val="Sections"/>
      <sheetName val="Bulkheads"/>
      <sheetName val="Decks"/>
      <sheetName val="SK Check"/>
      <sheetName val="Cm"/>
      <sheetName val="Transom"/>
      <sheetName val="Upr Hull"/>
      <sheetName val="Body Plan"/>
      <sheetName val="WLs"/>
      <sheetName val="Enclosed Volume"/>
      <sheetName val="Fbd Check"/>
      <sheetName val="Profile Calcs"/>
      <sheetName val="Cp Calcs"/>
      <sheetName val="Cp Ref Calcs"/>
      <sheetName val="Cwl Calcs"/>
      <sheetName val="Cwl Ref Calcs"/>
      <sheetName val="CWD Calcs"/>
      <sheetName val="CWD Ref Calcs"/>
      <sheetName val="Mid Upr WL Calcs"/>
      <sheetName val="Mid Upr WL Ref Calcs"/>
      <sheetName val="Section Calcs"/>
      <sheetName val="Decks Calcs"/>
      <sheetName val="BHD Calcs"/>
      <sheetName val="Post-MNVDET Hull 03c1"/>
      <sheetName val="C"/>
      <sheetName val="Deadrise"/>
      <sheetName val="Offset Data"/>
      <sheetName val="Fbd Calcs"/>
      <sheetName val="Xfer Data to V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>
        <row r="2">
          <cell r="A2">
            <v>1</v>
          </cell>
          <cell r="B2">
            <v>1</v>
          </cell>
          <cell r="C2">
            <v>1</v>
          </cell>
          <cell r="D2">
            <v>1</v>
          </cell>
          <cell r="E2">
            <v>1</v>
          </cell>
        </row>
        <row r="3">
          <cell r="A3">
            <v>0.5</v>
          </cell>
          <cell r="B3">
            <v>0.25</v>
          </cell>
          <cell r="C3">
            <v>0.125</v>
          </cell>
          <cell r="D3">
            <v>6.25E-2</v>
          </cell>
          <cell r="E3">
            <v>3.125E-2</v>
          </cell>
        </row>
        <row r="4">
          <cell r="A4">
            <v>1</v>
          </cell>
          <cell r="B4">
            <v>1</v>
          </cell>
          <cell r="C4">
            <v>0.75</v>
          </cell>
          <cell r="D4">
            <v>0.5</v>
          </cell>
          <cell r="E4">
            <v>0.3125</v>
          </cell>
        </row>
        <row r="5">
          <cell r="A5">
            <v>0.5</v>
          </cell>
          <cell r="B5">
            <v>0.33333333333333331</v>
          </cell>
          <cell r="C5">
            <v>0.25</v>
          </cell>
          <cell r="D5">
            <v>0.2</v>
          </cell>
          <cell r="E5">
            <v>0.16666666666666666</v>
          </cell>
        </row>
        <row r="6">
          <cell r="A6">
            <v>0.33333333333333331</v>
          </cell>
          <cell r="B6">
            <v>0.25</v>
          </cell>
          <cell r="C6">
            <v>0.2</v>
          </cell>
          <cell r="D6">
            <v>0.16666666666666666</v>
          </cell>
          <cell r="E6">
            <v>0.14285714285714285</v>
          </cell>
        </row>
      </sheetData>
      <sheetData sheetId="24">
        <row r="25">
          <cell r="K25">
            <v>-120</v>
          </cell>
          <cell r="L25">
            <v>0</v>
          </cell>
        </row>
        <row r="26">
          <cell r="K26">
            <v>-120</v>
          </cell>
          <cell r="L26">
            <v>4.2632099999999999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ev Sheet"/>
      <sheetName val="Ref Sheet"/>
      <sheetName val="Intro"/>
      <sheetName val="Gen Instr"/>
      <sheetName val="Air Group Def"/>
      <sheetName val="Disp vs AC Wt"/>
      <sheetName val="AC Wt vs Disp"/>
      <sheetName val="AC Wt vs LBD"/>
      <sheetName val="Initial Calcs"/>
      <sheetName val="Lpp v Disp"/>
      <sheetName val="Loa vs Lpp"/>
      <sheetName val="B vs L"/>
      <sheetName val="D vs Disp"/>
      <sheetName val="T vs L"/>
      <sheetName val="Cb(est)"/>
      <sheetName val="Cm(est)"/>
      <sheetName val="Cp(est)"/>
      <sheetName val="Cwp(est)"/>
      <sheetName val="DLR"/>
      <sheetName val="Base FDk Layout"/>
      <sheetName val="LZ Layout"/>
      <sheetName val="Cats+Lifts"/>
      <sheetName val="Flt Dk"/>
      <sheetName val="Flt Dk Calcs"/>
      <sheetName val="FDArea vs Disp"/>
      <sheetName val="FLd vs FDD"/>
      <sheetName val="Init Pwr Calcs"/>
      <sheetName val="Init HF Def"/>
      <sheetName val="Resist Est"/>
      <sheetName val="FL-Rst"/>
      <sheetName val="WS Est"/>
      <sheetName val="Pwr Data"/>
      <sheetName val="Wt Calcs"/>
      <sheetName val="w100r"/>
      <sheetName val="w200"/>
      <sheetName val="w300"/>
      <sheetName val="w400"/>
      <sheetName val="w500r"/>
      <sheetName val="w600"/>
      <sheetName val="w700"/>
      <sheetName val="FL vs STD"/>
      <sheetName val="Accom"/>
      <sheetName val="FLDvsLS"/>
      <sheetName val="FL vs LBD"/>
      <sheetName val="Notes &amp; Instr"/>
      <sheetName val="Hullform Inputs"/>
      <sheetName val="Profile"/>
      <sheetName val="Cp"/>
      <sheetName val="Cwl"/>
      <sheetName val="CWD"/>
      <sheetName val="CMUpr"/>
      <sheetName val="Sections"/>
      <sheetName val="Bulkheads"/>
      <sheetName val="Decks"/>
      <sheetName val="Fbd Check"/>
      <sheetName val="SK Check"/>
      <sheetName val="Profile Calcs"/>
      <sheetName val="Cp Calcs"/>
      <sheetName val="Cp Ref Calcs"/>
      <sheetName val="Cwl Calcs"/>
      <sheetName val="Cwl Ref Calcs"/>
      <sheetName val="CWD Calcs"/>
      <sheetName val="CWD CalcsA"/>
      <sheetName val="CWD Ref Calcs"/>
      <sheetName val="Mid Upr WL Calcs"/>
      <sheetName val="Mid Upr WL Ref Calcs"/>
      <sheetName val="Upr Hull Calcs"/>
      <sheetName val="Section Calcs"/>
      <sheetName val="BHD Calcs"/>
      <sheetName val="WL Calcs"/>
      <sheetName val="C"/>
      <sheetName val="Deadrise"/>
      <sheetName val="Offset Data"/>
      <sheetName val="Fbd Calcs"/>
      <sheetName val="Costs Input"/>
      <sheetName val="Acq Costs"/>
      <sheetName val="Life Cycle"/>
      <sheetName val="Mtl-Lbr"/>
      <sheetName val="Results"/>
      <sheetName val="Misc Notes"/>
      <sheetName val="WS Notes"/>
      <sheetName val="Dk Gr Notes"/>
      <sheetName val="Dk Gr Notes 2"/>
      <sheetName val="Xfer"/>
      <sheetName val="Costs Xfer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>
        <row r="2">
          <cell r="A2">
            <v>1</v>
          </cell>
          <cell r="B2">
            <v>1</v>
          </cell>
          <cell r="C2">
            <v>1</v>
          </cell>
          <cell r="D2">
            <v>1</v>
          </cell>
          <cell r="E2">
            <v>1</v>
          </cell>
        </row>
        <row r="3">
          <cell r="A3">
            <v>0.5</v>
          </cell>
          <cell r="B3">
            <v>0.25</v>
          </cell>
          <cell r="C3">
            <v>0.125</v>
          </cell>
          <cell r="D3">
            <v>6.25E-2</v>
          </cell>
          <cell r="E3">
            <v>3.125E-2</v>
          </cell>
        </row>
        <row r="4">
          <cell r="A4">
            <v>1</v>
          </cell>
          <cell r="B4">
            <v>1</v>
          </cell>
          <cell r="C4">
            <v>0.75</v>
          </cell>
          <cell r="D4">
            <v>0.5</v>
          </cell>
          <cell r="E4">
            <v>0.3125</v>
          </cell>
        </row>
        <row r="5">
          <cell r="A5">
            <v>0.5</v>
          </cell>
          <cell r="B5">
            <v>0.33333333333333331</v>
          </cell>
          <cell r="C5">
            <v>0.25</v>
          </cell>
          <cell r="D5">
            <v>0.2</v>
          </cell>
          <cell r="E5">
            <v>0.16666666666666666</v>
          </cell>
        </row>
        <row r="6">
          <cell r="A6">
            <v>0.33333333333333331</v>
          </cell>
          <cell r="B6">
            <v>0.25</v>
          </cell>
          <cell r="C6">
            <v>0.2</v>
          </cell>
          <cell r="D6">
            <v>0.16666666666666666</v>
          </cell>
          <cell r="E6">
            <v>0.14285714285714285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l Ref Calcs (3)"/>
      <sheetName val="Cover Sheet"/>
      <sheetName val="Rev Sheet"/>
      <sheetName val="Ref Sheet"/>
      <sheetName val="Notes &amp; Instr"/>
      <sheetName val="Inputs"/>
      <sheetName val="Profile"/>
      <sheetName val="Cp"/>
      <sheetName val="Cwl"/>
      <sheetName val="CWD"/>
      <sheetName val="CMUpr"/>
      <sheetName val="Sections"/>
      <sheetName val="Bulkheads"/>
      <sheetName val="WL Calcs"/>
      <sheetName val="SK Check"/>
      <sheetName val="Profile 1"/>
      <sheetName val="Profile 2"/>
      <sheetName val="Cm"/>
      <sheetName val="Transom"/>
      <sheetName val="Cp Plot"/>
      <sheetName val="Upr Hull"/>
      <sheetName val="Body Plan"/>
      <sheetName val="Enclosed Volume"/>
      <sheetName val="Deck Plots"/>
      <sheetName val="Fbd Check"/>
      <sheetName val="Profile Calcs"/>
      <sheetName val="Cp Calcs"/>
      <sheetName val="Cp Ref Calcs"/>
      <sheetName val="Cwl Calcs"/>
      <sheetName val="Cwl Ref Calcs"/>
      <sheetName val="Cwl Ref Calcs (2)"/>
      <sheetName val="CWD Calcs"/>
      <sheetName val="CWD Ref Calcs"/>
      <sheetName val="Mid Upr WL Calcs"/>
      <sheetName val="Mid Upr WL Ref Calcs"/>
      <sheetName val="Section Calcs"/>
      <sheetName val="PtCloud"/>
      <sheetName val="BHD Calcs"/>
      <sheetName val="C"/>
      <sheetName val="Deadrise"/>
      <sheetName val="Offset Data"/>
      <sheetName val="Fbd Calcs"/>
      <sheetName val="Xfer Data to V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>
        <row r="2">
          <cell r="A2">
            <v>1</v>
          </cell>
          <cell r="B2">
            <v>1</v>
          </cell>
          <cell r="C2">
            <v>1</v>
          </cell>
          <cell r="D2">
            <v>1</v>
          </cell>
          <cell r="E2">
            <v>1</v>
          </cell>
        </row>
        <row r="3">
          <cell r="A3">
            <v>0.5</v>
          </cell>
          <cell r="B3">
            <v>0.25</v>
          </cell>
          <cell r="C3">
            <v>0.125</v>
          </cell>
          <cell r="D3">
            <v>6.25E-2</v>
          </cell>
          <cell r="E3">
            <v>3.125E-2</v>
          </cell>
        </row>
        <row r="4">
          <cell r="A4">
            <v>1</v>
          </cell>
          <cell r="B4">
            <v>1</v>
          </cell>
          <cell r="C4">
            <v>0.75</v>
          </cell>
          <cell r="D4">
            <v>0.5</v>
          </cell>
          <cell r="E4">
            <v>0.3125</v>
          </cell>
        </row>
        <row r="5">
          <cell r="A5">
            <v>0.5</v>
          </cell>
          <cell r="B5">
            <v>0.33333333333333331</v>
          </cell>
          <cell r="C5">
            <v>0.25</v>
          </cell>
          <cell r="D5">
            <v>0.2</v>
          </cell>
          <cell r="E5">
            <v>0.16666666666666666</v>
          </cell>
        </row>
        <row r="6">
          <cell r="A6">
            <v>0.33333333333333331</v>
          </cell>
          <cell r="B6">
            <v>0.25</v>
          </cell>
          <cell r="C6">
            <v>0.2</v>
          </cell>
          <cell r="D6">
            <v>0.16666666666666666</v>
          </cell>
          <cell r="E6">
            <v>0.14285714285714285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ata (2)"/>
      <sheetName val="Chart1"/>
      <sheetName val="Comp Data"/>
      <sheetName val="LtShip"/>
      <sheetName val="Sheet2"/>
    </sheetNames>
    <sheetDataSet>
      <sheetData sheetId="0"/>
      <sheetData sheetId="1" refreshError="1"/>
      <sheetData sheetId="2"/>
      <sheetData sheetId="3">
        <row r="9">
          <cell r="AQ9">
            <v>1.0160467345210495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ata (2)"/>
      <sheetName val="Chart1"/>
      <sheetName val="Comp Data"/>
      <sheetName val="LtShip"/>
      <sheetName val="Sheet2"/>
    </sheetNames>
    <sheetDataSet>
      <sheetData sheetId="0"/>
      <sheetData sheetId="1" refreshError="1"/>
      <sheetData sheetId="2"/>
      <sheetData sheetId="3">
        <row r="9">
          <cell r="AQ9">
            <v>1.0160467345210495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p"/>
      <sheetName val="Cwl"/>
      <sheetName val="Body Plan"/>
      <sheetName val="Alt Cp"/>
      <sheetName val="Alt Cwl"/>
      <sheetName val="Alt Body Plan"/>
    </sheetNames>
    <sheetDataSet>
      <sheetData sheetId="0"/>
      <sheetData sheetId="1"/>
      <sheetData sheetId="2" refreshError="1"/>
      <sheetData sheetId="3" refreshError="1"/>
      <sheetData sheetId="4">
        <row r="15">
          <cell r="A15">
            <v>1</v>
          </cell>
          <cell r="B15">
            <v>1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</row>
        <row r="16">
          <cell r="A16">
            <v>0.45</v>
          </cell>
          <cell r="B16">
            <v>0.20250000000000001</v>
          </cell>
          <cell r="C16">
            <v>9.1125000000000012E-2</v>
          </cell>
          <cell r="D16">
            <v>4.1006250000000008E-2</v>
          </cell>
          <cell r="E16">
            <v>1.8452812500000006E-2</v>
          </cell>
          <cell r="F16">
            <v>8.3037656250000026E-3</v>
          </cell>
          <cell r="G16">
            <v>3.7366945312500011E-3</v>
          </cell>
        </row>
        <row r="17">
          <cell r="A17">
            <v>0.48</v>
          </cell>
          <cell r="B17">
            <v>0.23039999999999999</v>
          </cell>
          <cell r="C17">
            <v>0.110592</v>
          </cell>
          <cell r="D17">
            <v>5.3084159999999998E-2</v>
          </cell>
          <cell r="E17">
            <v>2.5480396799999999E-2</v>
          </cell>
          <cell r="F17">
            <v>1.2230590463999999E-2</v>
          </cell>
          <cell r="G17">
            <v>5.8706834227199994E-3</v>
          </cell>
        </row>
        <row r="18">
          <cell r="A18">
            <v>1</v>
          </cell>
          <cell r="B18">
            <v>0.9</v>
          </cell>
          <cell r="C18">
            <v>0.60750000000000004</v>
          </cell>
          <cell r="D18">
            <v>0.36450000000000005</v>
          </cell>
          <cell r="E18">
            <v>0.20503125000000005</v>
          </cell>
          <cell r="F18">
            <v>0.11071687500000003</v>
          </cell>
          <cell r="G18">
            <v>5.812635937500002E-2</v>
          </cell>
        </row>
        <row r="19">
          <cell r="A19">
            <v>1</v>
          </cell>
          <cell r="B19">
            <v>0.96</v>
          </cell>
          <cell r="C19">
            <v>0.69120000000000004</v>
          </cell>
          <cell r="D19">
            <v>0.44236799999999998</v>
          </cell>
          <cell r="E19">
            <v>0.26542080000000001</v>
          </cell>
          <cell r="F19">
            <v>0.1528823808</v>
          </cell>
          <cell r="G19">
            <v>8.5614133247999991E-2</v>
          </cell>
        </row>
        <row r="20">
          <cell r="A20">
            <v>0.5</v>
          </cell>
          <cell r="B20">
            <v>0.33333333333333331</v>
          </cell>
          <cell r="C20">
            <v>0.25</v>
          </cell>
          <cell r="D20">
            <v>0.2</v>
          </cell>
          <cell r="E20">
            <v>0.16666666666666666</v>
          </cell>
          <cell r="F20">
            <v>0.14285714285714285</v>
          </cell>
          <cell r="G20">
            <v>0.125</v>
          </cell>
        </row>
        <row r="21">
          <cell r="A21">
            <v>0.33333333333333331</v>
          </cell>
          <cell r="B21">
            <v>0.25</v>
          </cell>
          <cell r="C21">
            <v>0.2</v>
          </cell>
          <cell r="D21">
            <v>0.16666666666666666</v>
          </cell>
          <cell r="E21">
            <v>0.14285714285714285</v>
          </cell>
          <cell r="F21">
            <v>0.125</v>
          </cell>
          <cell r="G21">
            <v>0.1111111111111111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 xml:space="preserve">Worksheet for series 62/65 planning hull performance prediction </v>
          </cell>
          <cell r="W1" t="str">
            <v xml:space="preserve"> </v>
          </cell>
        </row>
        <row r="2">
          <cell r="A2" t="str">
            <v>ref. Dejan Radojcic SNAME SE 2/85</v>
          </cell>
          <cell r="O2" t="str">
            <v xml:space="preserve"> </v>
          </cell>
          <cell r="P2" t="str">
            <v>RESULTS</v>
          </cell>
          <cell r="R2" t="str">
            <v xml:space="preserve"> </v>
          </cell>
          <cell r="X2" t="str">
            <v>|</v>
          </cell>
        </row>
        <row r="3">
          <cell r="D3" t="str">
            <v>||</v>
          </cell>
          <cell r="E3" t="str">
            <v>INPUT VALUES BELOW</v>
          </cell>
          <cell r="H3" t="str">
            <v>||</v>
          </cell>
          <cell r="L3" t="str">
            <v>||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|</v>
          </cell>
        </row>
        <row r="4">
          <cell r="D4" t="str">
            <v>||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||</v>
          </cell>
          <cell r="I4" t="str">
            <v>CURRENT</v>
          </cell>
          <cell r="L4" t="str">
            <v>||</v>
          </cell>
          <cell r="M4" t="str">
            <v>FROUDE #</v>
          </cell>
          <cell r="N4" t="str">
            <v>||</v>
          </cell>
          <cell r="O4" t="str">
            <v>VELOC (kts)</v>
          </cell>
          <cell r="P4" t="str">
            <v>||</v>
          </cell>
          <cell r="Q4" t="str">
            <v>R/DISP</v>
          </cell>
          <cell r="R4" t="str">
            <v>||</v>
          </cell>
          <cell r="S4" t="str">
            <v>RESIST</v>
          </cell>
          <cell r="T4" t="str">
            <v>||</v>
          </cell>
          <cell r="U4" t="str">
            <v>EHP</v>
          </cell>
          <cell r="V4" t="str">
            <v>||</v>
          </cell>
          <cell r="W4" t="str">
            <v>TRIM</v>
          </cell>
          <cell r="X4" t="str">
            <v>|</v>
          </cell>
        </row>
        <row r="5">
          <cell r="A5" t="str">
            <v>BOAT</v>
          </cell>
          <cell r="D5" t="str">
            <v>||</v>
          </cell>
          <cell r="E5" t="str">
            <v>FMHS</v>
          </cell>
          <cell r="F5" t="str">
            <v>Cp</v>
          </cell>
          <cell r="G5">
            <v>0.67</v>
          </cell>
          <cell r="H5" t="str">
            <v>||</v>
          </cell>
          <cell r="I5" t="str">
            <v>AP/V^2/3</v>
          </cell>
          <cell r="J5" t="str">
            <v>=</v>
          </cell>
          <cell r="K5">
            <v>6.1038620467029876</v>
          </cell>
          <cell r="L5" t="str">
            <v>||</v>
          </cell>
          <cell r="M5">
            <v>1</v>
          </cell>
          <cell r="N5" t="str">
            <v>||</v>
          </cell>
          <cell r="O5">
            <v>21.057883280527449</v>
          </cell>
          <cell r="P5" t="str">
            <v>||</v>
          </cell>
          <cell r="Q5">
            <v>4.3296029429044119E-2</v>
          </cell>
          <cell r="R5" t="str">
            <v>||</v>
          </cell>
          <cell r="S5">
            <v>167947.02999643929</v>
          </cell>
          <cell r="T5" t="str">
            <v>||</v>
          </cell>
          <cell r="U5">
            <v>10860.604590827099</v>
          </cell>
          <cell r="V5" t="str">
            <v>||</v>
          </cell>
          <cell r="W5">
            <v>0.11855422292844864</v>
          </cell>
          <cell r="X5" t="str">
            <v>|</v>
          </cell>
        </row>
        <row r="6">
          <cell r="A6" t="str">
            <v>DISPLACEMENT (LBS)</v>
          </cell>
          <cell r="D6" t="str">
            <v>||</v>
          </cell>
          <cell r="E6">
            <v>3879040</v>
          </cell>
          <cell r="F6" t="str">
            <v xml:space="preserve"> </v>
          </cell>
          <cell r="G6" t="str">
            <v xml:space="preserve"> </v>
          </cell>
          <cell r="H6" t="str">
            <v>||</v>
          </cell>
          <cell r="I6" t="str">
            <v>100 LCG/LP</v>
          </cell>
          <cell r="K6">
            <v>43.4</v>
          </cell>
          <cell r="L6" t="str">
            <v>||</v>
          </cell>
          <cell r="M6">
            <v>1.25</v>
          </cell>
          <cell r="N6" t="str">
            <v>||</v>
          </cell>
          <cell r="O6">
            <v>26.322354100659311</v>
          </cell>
          <cell r="P6" t="str">
            <v>||</v>
          </cell>
          <cell r="Q6">
            <v>7.1300325627636579E-2</v>
          </cell>
          <cell r="R6" t="str">
            <v>||</v>
          </cell>
          <cell r="S6">
            <v>276576.81512262742</v>
          </cell>
          <cell r="T6" t="str">
            <v>||</v>
          </cell>
          <cell r="U6">
            <v>22356.68761231465</v>
          </cell>
          <cell r="V6" t="str">
            <v>||</v>
          </cell>
          <cell r="W6">
            <v>1.4685731781580991</v>
          </cell>
          <cell r="X6" t="str">
            <v>|</v>
          </cell>
        </row>
        <row r="7">
          <cell r="A7" t="str">
            <v>LP (FT) - Chine Length</v>
          </cell>
          <cell r="D7" t="str">
            <v>||</v>
          </cell>
          <cell r="E7">
            <v>272.70009600000003</v>
          </cell>
          <cell r="F7" t="str">
            <v xml:space="preserve"> </v>
          </cell>
          <cell r="G7" t="str">
            <v xml:space="preserve"> </v>
          </cell>
          <cell r="H7" t="str">
            <v>||</v>
          </cell>
          <cell r="I7" t="str">
            <v>LP/BPA</v>
          </cell>
          <cell r="J7" t="str">
            <v>=</v>
          </cell>
          <cell r="K7">
            <v>6.7358184764991904</v>
          </cell>
          <cell r="L7" t="str">
            <v>||</v>
          </cell>
          <cell r="M7">
            <v>1.5</v>
          </cell>
          <cell r="N7" t="str">
            <v>||</v>
          </cell>
          <cell r="O7">
            <v>31.586824920791173</v>
          </cell>
          <cell r="P7" t="str">
            <v>||</v>
          </cell>
          <cell r="Q7">
            <v>8.1526894295960828E-2</v>
          </cell>
          <cell r="R7" t="str">
            <v>||</v>
          </cell>
          <cell r="S7">
            <v>316246.0840498039</v>
          </cell>
          <cell r="T7" t="str">
            <v>||</v>
          </cell>
          <cell r="U7">
            <v>30675.954844231645</v>
          </cell>
          <cell r="V7" t="str">
            <v>||</v>
          </cell>
          <cell r="W7">
            <v>2.0906676551159888</v>
          </cell>
          <cell r="X7" t="str">
            <v>|</v>
          </cell>
        </row>
        <row r="8">
          <cell r="A8" t="str">
            <v>BPA (FT) - Mean B over chines</v>
          </cell>
          <cell r="D8" t="str">
            <v>||</v>
          </cell>
          <cell r="E8">
            <v>40.485072000000002</v>
          </cell>
          <cell r="F8" t="str">
            <v xml:space="preserve"> </v>
          </cell>
          <cell r="H8" t="str">
            <v>||</v>
          </cell>
          <cell r="L8" t="str">
            <v>||</v>
          </cell>
          <cell r="M8">
            <v>1.75</v>
          </cell>
          <cell r="N8" t="str">
            <v>||</v>
          </cell>
          <cell r="O8">
            <v>36.851295740923035</v>
          </cell>
          <cell r="P8" t="str">
            <v>||</v>
          </cell>
          <cell r="Q8">
            <v>8.7999031131009514E-2</v>
          </cell>
          <cell r="R8" t="str">
            <v>||</v>
          </cell>
          <cell r="S8">
            <v>341351.76171843114</v>
          </cell>
          <cell r="T8" t="str">
            <v>||</v>
          </cell>
          <cell r="U8">
            <v>38629.74768501857</v>
          </cell>
          <cell r="V8" t="str">
            <v>||</v>
          </cell>
          <cell r="W8">
            <v>2.1643436697740377</v>
          </cell>
          <cell r="X8" t="str">
            <v>|</v>
          </cell>
        </row>
        <row r="9">
          <cell r="A9" t="str">
            <v>BETA (DEG)</v>
          </cell>
          <cell r="D9" t="str">
            <v>||</v>
          </cell>
          <cell r="E9">
            <v>19</v>
          </cell>
          <cell r="H9" t="str">
            <v>||</v>
          </cell>
          <cell r="I9" t="str">
            <v>ACCEPTABLE RANGE</v>
          </cell>
          <cell r="L9" t="str">
            <v>||</v>
          </cell>
          <cell r="M9">
            <v>2</v>
          </cell>
          <cell r="N9" t="str">
            <v>||</v>
          </cell>
          <cell r="O9">
            <v>42.115766561054897</v>
          </cell>
          <cell r="P9" t="str">
            <v>||</v>
          </cell>
          <cell r="Q9">
            <v>9.4219656835425172E-2</v>
          </cell>
          <cell r="R9" t="str">
            <v>||</v>
          </cell>
          <cell r="S9">
            <v>365481.81765088765</v>
          </cell>
          <cell r="T9" t="str">
            <v>||</v>
          </cell>
          <cell r="U9">
            <v>47269.112251966813</v>
          </cell>
          <cell r="V9" t="str">
            <v>||</v>
          </cell>
          <cell r="W9">
            <v>2.3328223525706937</v>
          </cell>
          <cell r="X9" t="str">
            <v>|</v>
          </cell>
        </row>
        <row r="10">
          <cell r="A10" t="str">
            <v>AP (SQ-FT)</v>
          </cell>
          <cell r="D10" t="str">
            <v>||</v>
          </cell>
          <cell r="E10">
            <v>9418.1925600000013</v>
          </cell>
          <cell r="G10">
            <v>9163.4349074025376</v>
          </cell>
          <cell r="H10" t="str">
            <v>||</v>
          </cell>
          <cell r="I10" t="str">
            <v>AP/V^2/3</v>
          </cell>
          <cell r="K10" t="str">
            <v>4.25-9.5</v>
          </cell>
          <cell r="L10" t="str">
            <v>||</v>
          </cell>
          <cell r="M10">
            <v>2.5</v>
          </cell>
          <cell r="N10" t="str">
            <v>||</v>
          </cell>
          <cell r="O10">
            <v>52.644708201318622</v>
          </cell>
          <cell r="P10" t="str">
            <v>||</v>
          </cell>
          <cell r="Q10">
            <v>0.11626816779858437</v>
          </cell>
          <cell r="R10" t="str">
            <v>||</v>
          </cell>
          <cell r="S10">
            <v>451008.87361742073</v>
          </cell>
          <cell r="T10" t="str">
            <v>||</v>
          </cell>
          <cell r="U10">
            <v>72913.302536772564</v>
          </cell>
          <cell r="V10" t="str">
            <v>||</v>
          </cell>
          <cell r="W10">
            <v>2.7282705751529557</v>
          </cell>
          <cell r="X10" t="str">
            <v>|</v>
          </cell>
        </row>
        <row r="11">
          <cell r="A11" t="str">
            <v>LCG (FR TRANS) (FT)</v>
          </cell>
          <cell r="D11" t="str">
            <v>||</v>
          </cell>
          <cell r="E11">
            <v>118.35184166400001</v>
          </cell>
          <cell r="H11" t="str">
            <v>||</v>
          </cell>
          <cell r="I11" t="str">
            <v>100 LCG/LP</v>
          </cell>
          <cell r="K11" t="str">
            <v>30-44.8</v>
          </cell>
          <cell r="L11" t="str">
            <v>||</v>
          </cell>
          <cell r="M11">
            <v>3</v>
          </cell>
          <cell r="N11" t="str">
            <v>||</v>
          </cell>
          <cell r="O11">
            <v>63.173649841582346</v>
          </cell>
          <cell r="P11" t="str">
            <v>||</v>
          </cell>
          <cell r="Q11">
            <v>0.12561134191383419</v>
          </cell>
          <cell r="R11" t="str">
            <v>||</v>
          </cell>
          <cell r="S11">
            <v>487251.41973743937</v>
          </cell>
          <cell r="T11" t="str">
            <v>||</v>
          </cell>
          <cell r="U11">
            <v>94527.036403078702</v>
          </cell>
          <cell r="V11" t="str">
            <v>||</v>
          </cell>
          <cell r="W11">
            <v>3.5449278636087707</v>
          </cell>
          <cell r="X11" t="str">
            <v>|</v>
          </cell>
        </row>
        <row r="12">
          <cell r="A12" t="str">
            <v>VOLUME (CALCULATED)</v>
          </cell>
          <cell r="D12" t="str">
            <v>||</v>
          </cell>
          <cell r="E12">
            <v>60610</v>
          </cell>
          <cell r="H12" t="str">
            <v>||</v>
          </cell>
          <cell r="I12" t="str">
            <v>LP/BPA</v>
          </cell>
          <cell r="K12" t="str">
            <v>2.36-6.73</v>
          </cell>
          <cell r="L12" t="str">
            <v>||</v>
          </cell>
          <cell r="M12">
            <v>3.5</v>
          </cell>
          <cell r="N12" t="str">
            <v>||</v>
          </cell>
          <cell r="O12">
            <v>73.702591481846071</v>
          </cell>
          <cell r="P12" t="str">
            <v>||</v>
          </cell>
          <cell r="Q12">
            <v>0.13409262811574071</v>
          </cell>
          <cell r="R12" t="str">
            <v>||</v>
          </cell>
          <cell r="S12">
            <v>520150.66816608288</v>
          </cell>
          <cell r="T12" t="str">
            <v>||</v>
          </cell>
          <cell r="U12">
            <v>117727.75958908827</v>
          </cell>
          <cell r="V12" t="str">
            <v>||</v>
          </cell>
          <cell r="W12">
            <v>4.441939573152796</v>
          </cell>
          <cell r="X12" t="str">
            <v>|</v>
          </cell>
        </row>
        <row r="13">
          <cell r="A13" t="str">
            <v>SERIES</v>
          </cell>
          <cell r="C13" t="str">
            <v>SER65 Z=1</v>
          </cell>
          <cell r="D13" t="str">
            <v>||</v>
          </cell>
          <cell r="E13">
            <v>0</v>
          </cell>
          <cell r="H13" t="str">
            <v>||</v>
          </cell>
          <cell r="I13" t="str">
            <v>BETA</v>
          </cell>
          <cell r="K13" t="str">
            <v>13-37.4</v>
          </cell>
          <cell r="L13" t="str">
            <v>||</v>
          </cell>
          <cell r="M13">
            <v>4</v>
          </cell>
          <cell r="N13" t="str">
            <v>||</v>
          </cell>
          <cell r="O13">
            <v>84.231533122109795</v>
          </cell>
          <cell r="P13" t="str">
            <v>||</v>
          </cell>
          <cell r="Q13">
            <v>0.14286070439129187</v>
          </cell>
          <cell r="R13" t="str">
            <v>||</v>
          </cell>
          <cell r="S13">
            <v>554162.38676199678</v>
          </cell>
          <cell r="T13" t="str">
            <v>||</v>
          </cell>
          <cell r="U13">
            <v>143343.73312487031</v>
          </cell>
          <cell r="V13" t="str">
            <v>||</v>
          </cell>
          <cell r="W13">
            <v>4.6992674944712407</v>
          </cell>
          <cell r="X13" t="str">
            <v>|</v>
          </cell>
        </row>
        <row r="14">
          <cell r="A14" t="str">
            <v xml:space="preserve"> </v>
          </cell>
          <cell r="C14" t="str">
            <v>SER62 Z=0</v>
          </cell>
          <cell r="D14" t="str">
            <v>||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||</v>
          </cell>
          <cell r="L14" t="str">
            <v>||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|</v>
          </cell>
        </row>
        <row r="15">
          <cell r="A15" t="str">
            <v>Interpolated Speeds (kts)</v>
          </cell>
          <cell r="E15">
            <v>42</v>
          </cell>
          <cell r="O15">
            <v>42</v>
          </cell>
          <cell r="Q15">
            <v>9.4038956117429143E-2</v>
          </cell>
          <cell r="S15">
            <v>364780.87233775231</v>
          </cell>
          <cell r="U15">
            <v>47043.2894953016</v>
          </cell>
          <cell r="W15">
            <v>2.3284788680284634</v>
          </cell>
        </row>
        <row r="16">
          <cell r="E16">
            <v>50</v>
          </cell>
          <cell r="O16">
            <v>50</v>
          </cell>
          <cell r="Q16">
            <v>0.11108074293515607</v>
          </cell>
          <cell r="S16">
            <v>430886.64507518779</v>
          </cell>
          <cell r="U16">
            <v>66328.246980029449</v>
          </cell>
          <cell r="W16">
            <v>2.6054240493357437</v>
          </cell>
        </row>
        <row r="17">
          <cell r="A17" t="str">
            <v xml:space="preserve"> </v>
          </cell>
          <cell r="D17" t="str">
            <v>||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||</v>
          </cell>
          <cell r="L17" t="str">
            <v>||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|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 xml:space="preserve">Worksheet for series 62/65 planning hull performance prediction </v>
          </cell>
          <cell r="W1" t="str">
            <v xml:space="preserve"> </v>
          </cell>
        </row>
        <row r="2">
          <cell r="A2" t="str">
            <v>ref. Dejan Radojcic SNAME SE 2/85</v>
          </cell>
          <cell r="O2" t="str">
            <v xml:space="preserve"> </v>
          </cell>
          <cell r="P2" t="str">
            <v>RESULTS</v>
          </cell>
          <cell r="R2" t="str">
            <v xml:space="preserve"> </v>
          </cell>
          <cell r="X2" t="str">
            <v>|</v>
          </cell>
        </row>
        <row r="3">
          <cell r="D3" t="str">
            <v>||</v>
          </cell>
          <cell r="E3" t="str">
            <v>INPUT VALUES BELOW</v>
          </cell>
          <cell r="H3" t="str">
            <v>||</v>
          </cell>
          <cell r="L3" t="str">
            <v>||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|</v>
          </cell>
        </row>
        <row r="4">
          <cell r="D4" t="str">
            <v>||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||</v>
          </cell>
          <cell r="I4" t="str">
            <v>CURRENT</v>
          </cell>
          <cell r="L4" t="str">
            <v>||</v>
          </cell>
          <cell r="M4" t="str">
            <v>FROUDE #</v>
          </cell>
          <cell r="N4" t="str">
            <v>||</v>
          </cell>
          <cell r="O4" t="str">
            <v>VELOC (kts)</v>
          </cell>
          <cell r="P4" t="str">
            <v>||</v>
          </cell>
          <cell r="Q4" t="str">
            <v>R/DISP</v>
          </cell>
          <cell r="R4" t="str">
            <v>||</v>
          </cell>
          <cell r="S4" t="str">
            <v>RESIST</v>
          </cell>
          <cell r="T4" t="str">
            <v>||</v>
          </cell>
          <cell r="U4" t="str">
            <v>EHP</v>
          </cell>
          <cell r="V4" t="str">
            <v>||</v>
          </cell>
          <cell r="W4" t="str">
            <v>TRIM</v>
          </cell>
          <cell r="X4" t="str">
            <v>|</v>
          </cell>
        </row>
        <row r="5">
          <cell r="A5" t="str">
            <v>BOAT</v>
          </cell>
          <cell r="D5" t="str">
            <v>||</v>
          </cell>
          <cell r="E5" t="str">
            <v>FMHS</v>
          </cell>
          <cell r="F5" t="str">
            <v>Cp</v>
          </cell>
          <cell r="G5">
            <v>0.67</v>
          </cell>
          <cell r="H5" t="str">
            <v>||</v>
          </cell>
          <cell r="I5" t="str">
            <v>AP/V^2/3</v>
          </cell>
          <cell r="J5" t="str">
            <v>=</v>
          </cell>
          <cell r="K5">
            <v>6.1038620467029876</v>
          </cell>
          <cell r="L5" t="str">
            <v>||</v>
          </cell>
          <cell r="M5">
            <v>1</v>
          </cell>
          <cell r="N5" t="str">
            <v>||</v>
          </cell>
          <cell r="O5">
            <v>21.057883280527449</v>
          </cell>
          <cell r="P5" t="str">
            <v>||</v>
          </cell>
          <cell r="Q5">
            <v>4.3296029429044119E-2</v>
          </cell>
          <cell r="R5" t="str">
            <v>||</v>
          </cell>
          <cell r="S5">
            <v>167947.02999643929</v>
          </cell>
          <cell r="T5" t="str">
            <v>||</v>
          </cell>
          <cell r="U5">
            <v>10860.604590827099</v>
          </cell>
          <cell r="V5" t="str">
            <v>||</v>
          </cell>
          <cell r="W5">
            <v>0.11855422292844864</v>
          </cell>
          <cell r="X5" t="str">
            <v>|</v>
          </cell>
        </row>
        <row r="6">
          <cell r="A6" t="str">
            <v>DISPLACEMENT (LBS)</v>
          </cell>
          <cell r="D6" t="str">
            <v>||</v>
          </cell>
          <cell r="E6">
            <v>3879040</v>
          </cell>
          <cell r="F6" t="str">
            <v xml:space="preserve"> </v>
          </cell>
          <cell r="G6" t="str">
            <v xml:space="preserve"> </v>
          </cell>
          <cell r="H6" t="str">
            <v>||</v>
          </cell>
          <cell r="I6" t="str">
            <v>100 LCG/LP</v>
          </cell>
          <cell r="K6">
            <v>43.4</v>
          </cell>
          <cell r="L6" t="str">
            <v>||</v>
          </cell>
          <cell r="M6">
            <v>1.25</v>
          </cell>
          <cell r="N6" t="str">
            <v>||</v>
          </cell>
          <cell r="O6">
            <v>26.322354100659311</v>
          </cell>
          <cell r="P6" t="str">
            <v>||</v>
          </cell>
          <cell r="Q6">
            <v>7.1300325627636579E-2</v>
          </cell>
          <cell r="R6" t="str">
            <v>||</v>
          </cell>
          <cell r="S6">
            <v>276576.81512262742</v>
          </cell>
          <cell r="T6" t="str">
            <v>||</v>
          </cell>
          <cell r="U6">
            <v>22356.68761231465</v>
          </cell>
          <cell r="V6" t="str">
            <v>||</v>
          </cell>
          <cell r="W6">
            <v>1.4685731781580991</v>
          </cell>
          <cell r="X6" t="str">
            <v>|</v>
          </cell>
        </row>
        <row r="7">
          <cell r="A7" t="str">
            <v>LP (FT) - Chine Length</v>
          </cell>
          <cell r="D7" t="str">
            <v>||</v>
          </cell>
          <cell r="E7">
            <v>272.70009600000003</v>
          </cell>
          <cell r="F7" t="str">
            <v xml:space="preserve"> </v>
          </cell>
          <cell r="G7" t="str">
            <v xml:space="preserve"> </v>
          </cell>
          <cell r="H7" t="str">
            <v>||</v>
          </cell>
          <cell r="I7" t="str">
            <v>LP/BPA</v>
          </cell>
          <cell r="J7" t="str">
            <v>=</v>
          </cell>
          <cell r="K7">
            <v>6.7358184764991904</v>
          </cell>
          <cell r="L7" t="str">
            <v>||</v>
          </cell>
          <cell r="M7">
            <v>1.5</v>
          </cell>
          <cell r="N7" t="str">
            <v>||</v>
          </cell>
          <cell r="O7">
            <v>31.586824920791173</v>
          </cell>
          <cell r="P7" t="str">
            <v>||</v>
          </cell>
          <cell r="Q7">
            <v>8.1526894295960828E-2</v>
          </cell>
          <cell r="R7" t="str">
            <v>||</v>
          </cell>
          <cell r="S7">
            <v>316246.0840498039</v>
          </cell>
          <cell r="T7" t="str">
            <v>||</v>
          </cell>
          <cell r="U7">
            <v>30675.954844231645</v>
          </cell>
          <cell r="V7" t="str">
            <v>||</v>
          </cell>
          <cell r="W7">
            <v>2.0906676551159888</v>
          </cell>
          <cell r="X7" t="str">
            <v>|</v>
          </cell>
        </row>
        <row r="8">
          <cell r="A8" t="str">
            <v>BPA (FT) - Mean B over chines</v>
          </cell>
          <cell r="D8" t="str">
            <v>||</v>
          </cell>
          <cell r="E8">
            <v>40.485072000000002</v>
          </cell>
          <cell r="F8" t="str">
            <v xml:space="preserve"> </v>
          </cell>
          <cell r="H8" t="str">
            <v>||</v>
          </cell>
          <cell r="L8" t="str">
            <v>||</v>
          </cell>
          <cell r="M8">
            <v>1.75</v>
          </cell>
          <cell r="N8" t="str">
            <v>||</v>
          </cell>
          <cell r="O8">
            <v>36.851295740923035</v>
          </cell>
          <cell r="P8" t="str">
            <v>||</v>
          </cell>
          <cell r="Q8">
            <v>8.7999031131009514E-2</v>
          </cell>
          <cell r="R8" t="str">
            <v>||</v>
          </cell>
          <cell r="S8">
            <v>341351.76171843114</v>
          </cell>
          <cell r="T8" t="str">
            <v>||</v>
          </cell>
          <cell r="U8">
            <v>38629.74768501857</v>
          </cell>
          <cell r="V8" t="str">
            <v>||</v>
          </cell>
          <cell r="W8">
            <v>2.1643436697740377</v>
          </cell>
          <cell r="X8" t="str">
            <v>|</v>
          </cell>
        </row>
        <row r="9">
          <cell r="A9" t="str">
            <v>BETA (DEG)</v>
          </cell>
          <cell r="D9" t="str">
            <v>||</v>
          </cell>
          <cell r="E9">
            <v>19</v>
          </cell>
          <cell r="H9" t="str">
            <v>||</v>
          </cell>
          <cell r="I9" t="str">
            <v>ACCEPTABLE RANGE</v>
          </cell>
          <cell r="L9" t="str">
            <v>||</v>
          </cell>
          <cell r="M9">
            <v>2</v>
          </cell>
          <cell r="N9" t="str">
            <v>||</v>
          </cell>
          <cell r="O9">
            <v>42.115766561054897</v>
          </cell>
          <cell r="P9" t="str">
            <v>||</v>
          </cell>
          <cell r="Q9">
            <v>9.4219656835425172E-2</v>
          </cell>
          <cell r="R9" t="str">
            <v>||</v>
          </cell>
          <cell r="S9">
            <v>365481.81765088765</v>
          </cell>
          <cell r="T9" t="str">
            <v>||</v>
          </cell>
          <cell r="U9">
            <v>47269.112251966813</v>
          </cell>
          <cell r="V9" t="str">
            <v>||</v>
          </cell>
          <cell r="W9">
            <v>2.3328223525706937</v>
          </cell>
          <cell r="X9" t="str">
            <v>|</v>
          </cell>
        </row>
        <row r="10">
          <cell r="A10" t="str">
            <v>AP (SQ-FT)</v>
          </cell>
          <cell r="D10" t="str">
            <v>||</v>
          </cell>
          <cell r="E10">
            <v>9418.1925600000013</v>
          </cell>
          <cell r="G10">
            <v>9163.4349074025376</v>
          </cell>
          <cell r="H10" t="str">
            <v>||</v>
          </cell>
          <cell r="I10" t="str">
            <v>AP/V^2/3</v>
          </cell>
          <cell r="K10" t="str">
            <v>4.25-9.5</v>
          </cell>
          <cell r="L10" t="str">
            <v>||</v>
          </cell>
          <cell r="M10">
            <v>2.5</v>
          </cell>
          <cell r="N10" t="str">
            <v>||</v>
          </cell>
          <cell r="O10">
            <v>52.644708201318622</v>
          </cell>
          <cell r="P10" t="str">
            <v>||</v>
          </cell>
          <cell r="Q10">
            <v>0.11626816779858437</v>
          </cell>
          <cell r="R10" t="str">
            <v>||</v>
          </cell>
          <cell r="S10">
            <v>451008.87361742073</v>
          </cell>
          <cell r="T10" t="str">
            <v>||</v>
          </cell>
          <cell r="U10">
            <v>72913.302536772564</v>
          </cell>
          <cell r="V10" t="str">
            <v>||</v>
          </cell>
          <cell r="W10">
            <v>2.7282705751529557</v>
          </cell>
          <cell r="X10" t="str">
            <v>|</v>
          </cell>
        </row>
        <row r="11">
          <cell r="A11" t="str">
            <v>LCG (FR TRANS) (FT)</v>
          </cell>
          <cell r="D11" t="str">
            <v>||</v>
          </cell>
          <cell r="E11">
            <v>118.35184166400001</v>
          </cell>
          <cell r="H11" t="str">
            <v>||</v>
          </cell>
          <cell r="I11" t="str">
            <v>100 LCG/LP</v>
          </cell>
          <cell r="K11" t="str">
            <v>30-44.8</v>
          </cell>
          <cell r="L11" t="str">
            <v>||</v>
          </cell>
          <cell r="M11">
            <v>3</v>
          </cell>
          <cell r="N11" t="str">
            <v>||</v>
          </cell>
          <cell r="O11">
            <v>63.173649841582346</v>
          </cell>
          <cell r="P11" t="str">
            <v>||</v>
          </cell>
          <cell r="Q11">
            <v>0.12561134191383419</v>
          </cell>
          <cell r="R11" t="str">
            <v>||</v>
          </cell>
          <cell r="S11">
            <v>487251.41973743937</v>
          </cell>
          <cell r="T11" t="str">
            <v>||</v>
          </cell>
          <cell r="U11">
            <v>94527.036403078702</v>
          </cell>
          <cell r="V11" t="str">
            <v>||</v>
          </cell>
          <cell r="W11">
            <v>3.5449278636087707</v>
          </cell>
          <cell r="X11" t="str">
            <v>|</v>
          </cell>
        </row>
        <row r="12">
          <cell r="A12" t="str">
            <v>VOLUME (CALCULATED)</v>
          </cell>
          <cell r="D12" t="str">
            <v>||</v>
          </cell>
          <cell r="E12">
            <v>60610</v>
          </cell>
          <cell r="H12" t="str">
            <v>||</v>
          </cell>
          <cell r="I12" t="str">
            <v>LP/BPA</v>
          </cell>
          <cell r="K12" t="str">
            <v>2.36-6.73</v>
          </cell>
          <cell r="L12" t="str">
            <v>||</v>
          </cell>
          <cell r="M12">
            <v>3.5</v>
          </cell>
          <cell r="N12" t="str">
            <v>||</v>
          </cell>
          <cell r="O12">
            <v>73.702591481846071</v>
          </cell>
          <cell r="P12" t="str">
            <v>||</v>
          </cell>
          <cell r="Q12">
            <v>0.13409262811574071</v>
          </cell>
          <cell r="R12" t="str">
            <v>||</v>
          </cell>
          <cell r="S12">
            <v>520150.66816608288</v>
          </cell>
          <cell r="T12" t="str">
            <v>||</v>
          </cell>
          <cell r="U12">
            <v>117727.75958908827</v>
          </cell>
          <cell r="V12" t="str">
            <v>||</v>
          </cell>
          <cell r="W12">
            <v>4.441939573152796</v>
          </cell>
          <cell r="X12" t="str">
            <v>|</v>
          </cell>
        </row>
        <row r="13">
          <cell r="A13" t="str">
            <v>SERIES</v>
          </cell>
          <cell r="C13" t="str">
            <v>SER65 Z=1</v>
          </cell>
          <cell r="D13" t="str">
            <v>||</v>
          </cell>
          <cell r="E13">
            <v>0</v>
          </cell>
          <cell r="H13" t="str">
            <v>||</v>
          </cell>
          <cell r="I13" t="str">
            <v>BETA</v>
          </cell>
          <cell r="K13" t="str">
            <v>13-37.4</v>
          </cell>
          <cell r="L13" t="str">
            <v>||</v>
          </cell>
          <cell r="M13">
            <v>4</v>
          </cell>
          <cell r="N13" t="str">
            <v>||</v>
          </cell>
          <cell r="O13">
            <v>84.231533122109795</v>
          </cell>
          <cell r="P13" t="str">
            <v>||</v>
          </cell>
          <cell r="Q13">
            <v>0.14286070439129187</v>
          </cell>
          <cell r="R13" t="str">
            <v>||</v>
          </cell>
          <cell r="S13">
            <v>554162.38676199678</v>
          </cell>
          <cell r="T13" t="str">
            <v>||</v>
          </cell>
          <cell r="U13">
            <v>143343.73312487031</v>
          </cell>
          <cell r="V13" t="str">
            <v>||</v>
          </cell>
          <cell r="W13">
            <v>4.6992674944712407</v>
          </cell>
          <cell r="X13" t="str">
            <v>|</v>
          </cell>
        </row>
        <row r="14">
          <cell r="A14" t="str">
            <v xml:space="preserve"> </v>
          </cell>
          <cell r="C14" t="str">
            <v>SER62 Z=0</v>
          </cell>
          <cell r="D14" t="str">
            <v>||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||</v>
          </cell>
          <cell r="L14" t="str">
            <v>||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|</v>
          </cell>
        </row>
        <row r="15">
          <cell r="A15" t="str">
            <v>Interpolated Speeds (kts)</v>
          </cell>
          <cell r="E15">
            <v>42</v>
          </cell>
          <cell r="O15">
            <v>42</v>
          </cell>
          <cell r="Q15">
            <v>9.4038956117429143E-2</v>
          </cell>
          <cell r="S15">
            <v>364780.87233775231</v>
          </cell>
          <cell r="U15">
            <v>47043.2894953016</v>
          </cell>
          <cell r="W15">
            <v>2.3284788680284634</v>
          </cell>
        </row>
        <row r="16">
          <cell r="E16">
            <v>50</v>
          </cell>
          <cell r="O16">
            <v>50</v>
          </cell>
          <cell r="Q16">
            <v>0.11108074293515607</v>
          </cell>
          <cell r="S16">
            <v>430886.64507518779</v>
          </cell>
          <cell r="U16">
            <v>66328.246980029449</v>
          </cell>
          <cell r="W16">
            <v>2.6054240493357437</v>
          </cell>
        </row>
        <row r="17">
          <cell r="A17" t="str">
            <v xml:space="preserve"> </v>
          </cell>
          <cell r="D17" t="str">
            <v>||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||</v>
          </cell>
          <cell r="L17" t="str">
            <v>||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|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4"/>
  <sheetViews>
    <sheetView workbookViewId="0">
      <selection activeCell="B22" sqref="B22"/>
    </sheetView>
  </sheetViews>
  <sheetFormatPr defaultRowHeight="12.75" x14ac:dyDescent="0.2"/>
  <cols>
    <col min="1" max="1" width="1.7109375" style="1" customWidth="1"/>
    <col min="2" max="16" width="9.140625" style="1"/>
    <col min="17" max="17" width="2.7109375" style="1" customWidth="1"/>
    <col min="18" max="16384" width="9.140625" style="1"/>
  </cols>
  <sheetData>
    <row r="1" spans="2:16" ht="13.5" thickBot="1" x14ac:dyDescent="0.25"/>
    <row r="2" spans="2:16" x14ac:dyDescent="0.2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16" x14ac:dyDescent="0.2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7"/>
    </row>
    <row r="4" spans="2:16" x14ac:dyDescent="0.2"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7"/>
    </row>
    <row r="5" spans="2:16" x14ac:dyDescent="0.2"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2:16" x14ac:dyDescent="0.2"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2:16" x14ac:dyDescent="0.2"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7"/>
    </row>
    <row r="8" spans="2:16" x14ac:dyDescent="0.2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7"/>
    </row>
    <row r="9" spans="2:16" x14ac:dyDescent="0.2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7"/>
    </row>
    <row r="10" spans="2:16" x14ac:dyDescent="0.2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7"/>
    </row>
    <row r="11" spans="2:16" x14ac:dyDescent="0.2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7"/>
    </row>
    <row r="12" spans="2:16" x14ac:dyDescent="0.2"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7"/>
    </row>
    <row r="13" spans="2:16" x14ac:dyDescent="0.2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7"/>
    </row>
    <row r="14" spans="2:16" x14ac:dyDescent="0.2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7"/>
    </row>
    <row r="15" spans="2:16" x14ac:dyDescent="0.2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7"/>
    </row>
    <row r="16" spans="2:16" ht="23.25" x14ac:dyDescent="0.35">
      <c r="B16" s="276" t="s">
        <v>0</v>
      </c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8"/>
    </row>
    <row r="17" spans="2:16" x14ac:dyDescent="0.2">
      <c r="B17" s="5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7"/>
    </row>
    <row r="18" spans="2:16" ht="44.25" x14ac:dyDescent="0.55000000000000004">
      <c r="B18" s="279" t="s">
        <v>269</v>
      </c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1"/>
    </row>
    <row r="19" spans="2:16" x14ac:dyDescent="0.2">
      <c r="B19" s="5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7"/>
    </row>
    <row r="20" spans="2:16" x14ac:dyDescent="0.2">
      <c r="B20" s="5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/>
    </row>
    <row r="21" spans="2:16" ht="25.5" x14ac:dyDescent="0.35">
      <c r="B21" s="282" t="s">
        <v>270</v>
      </c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4"/>
    </row>
    <row r="22" spans="2:16" x14ac:dyDescent="0.2"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/>
    </row>
    <row r="23" spans="2:16" s="8" customFormat="1" ht="38.25" customHeight="1" x14ac:dyDescent="0.25">
      <c r="B23" s="285" t="s">
        <v>1</v>
      </c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7"/>
    </row>
    <row r="24" spans="2:16" ht="13.5" thickBot="1" x14ac:dyDescent="0.25">
      <c r="B24" s="9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"/>
    </row>
  </sheetData>
  <mergeCells count="4">
    <mergeCell ref="B16:P16"/>
    <mergeCell ref="B18:P18"/>
    <mergeCell ref="B21:P21"/>
    <mergeCell ref="B23:P23"/>
  </mergeCells>
  <phoneticPr fontId="12" type="noConversion"/>
  <printOptions horizontalCentered="1" verticalCentered="1"/>
  <pageMargins left="0.75" right="0.75" top="1" bottom="1" header="0.5" footer="0.5"/>
  <pageSetup scale="8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5:U76"/>
  <sheetViews>
    <sheetView topLeftCell="B1" zoomScale="78" zoomScaleNormal="100" workbookViewId="0">
      <selection activeCell="L42" sqref="L42"/>
    </sheetView>
  </sheetViews>
  <sheetFormatPr defaultRowHeight="12.75" x14ac:dyDescent="0.2"/>
  <cols>
    <col min="1" max="1" width="5" style="28" bestFit="1" customWidth="1"/>
    <col min="2" max="2" width="12.28515625" style="28" bestFit="1" customWidth="1"/>
    <col min="3" max="3" width="12.28515625" style="98" bestFit="1" customWidth="1"/>
    <col min="4" max="4" width="10.28515625" style="28" bestFit="1" customWidth="1"/>
    <col min="5" max="5" width="12.28515625" style="98" bestFit="1" customWidth="1"/>
    <col min="6" max="6" width="10.5703125" style="28" bestFit="1" customWidth="1"/>
    <col min="7" max="7" width="9.140625" style="28"/>
    <col min="8" max="8" width="9.140625" style="98"/>
    <col min="9" max="9" width="17.5703125" style="28" bestFit="1" customWidth="1"/>
    <col min="10" max="10" width="9.140625" style="98"/>
    <col min="11" max="11" width="10.5703125" style="28" bestFit="1" customWidth="1"/>
    <col min="12" max="12" width="10.28515625" style="28" bestFit="1" customWidth="1"/>
    <col min="13" max="13" width="7.7109375" style="98" customWidth="1"/>
    <col min="14" max="14" width="10.28515625" style="28" bestFit="1" customWidth="1"/>
    <col min="15" max="15" width="10.28515625" style="28" customWidth="1"/>
    <col min="16" max="16" width="10.28515625" style="28" bestFit="1" customWidth="1"/>
    <col min="17" max="17" width="10.5703125" style="28" bestFit="1" customWidth="1"/>
    <col min="18" max="18" width="13.28515625" style="28" bestFit="1" customWidth="1"/>
    <col min="19" max="19" width="10.28515625" style="98" bestFit="1" customWidth="1"/>
    <col min="20" max="20" width="10.28515625" style="28" bestFit="1" customWidth="1"/>
    <col min="21" max="21" width="9.140625" style="98"/>
    <col min="22" max="22" width="10.28515625" style="28" bestFit="1" customWidth="1"/>
    <col min="23" max="16384" width="9.140625" style="28"/>
  </cols>
  <sheetData>
    <row r="35" spans="1:21" ht="15" x14ac:dyDescent="0.25">
      <c r="B35" s="59" t="s">
        <v>354</v>
      </c>
      <c r="C35" s="98" t="s">
        <v>101</v>
      </c>
      <c r="D35" s="195">
        <f>Inputs!B3</f>
        <v>126.49353816142404</v>
      </c>
      <c r="F35" s="59" t="s">
        <v>141</v>
      </c>
      <c r="G35" s="128">
        <f>Inputs!B4/2</f>
        <v>7.0993863285377552</v>
      </c>
    </row>
    <row r="36" spans="1:21" s="38" customFormat="1" ht="15" x14ac:dyDescent="0.25">
      <c r="B36" s="60"/>
      <c r="C36" s="232"/>
      <c r="D36" s="17"/>
      <c r="E36" s="232"/>
      <c r="F36" s="60" t="s">
        <v>365</v>
      </c>
      <c r="G36" s="128">
        <f>G35+'Profile Calcs'!$J$55/2*TAN(CWD!D39*PI()/180)</f>
        <v>7.0993863285377552</v>
      </c>
      <c r="H36" s="232"/>
      <c r="J36" s="232"/>
      <c r="M36" s="232"/>
      <c r="S36" s="232"/>
      <c r="U36" s="232"/>
    </row>
    <row r="37" spans="1:21" s="38" customFormat="1" ht="15" x14ac:dyDescent="0.25">
      <c r="B37" s="60"/>
      <c r="C37" s="232"/>
      <c r="D37" s="17"/>
      <c r="E37" s="232"/>
      <c r="F37" s="60"/>
      <c r="G37" s="21"/>
      <c r="H37" s="232"/>
      <c r="J37" s="232"/>
      <c r="M37" s="232"/>
      <c r="S37" s="232"/>
      <c r="U37" s="232"/>
    </row>
    <row r="39" spans="1:21" x14ac:dyDescent="0.2">
      <c r="C39" s="59" t="s">
        <v>345</v>
      </c>
      <c r="E39" s="59" t="s">
        <v>90</v>
      </c>
      <c r="G39" s="98"/>
      <c r="H39" s="28"/>
      <c r="J39" s="59" t="s">
        <v>95</v>
      </c>
      <c r="M39" s="28"/>
      <c r="P39" s="59" t="s">
        <v>120</v>
      </c>
      <c r="R39" s="98"/>
    </row>
    <row r="40" spans="1:21" ht="15" x14ac:dyDescent="0.25">
      <c r="D40" s="59" t="s">
        <v>273</v>
      </c>
      <c r="E40" s="196">
        <f>Cwl!M38</f>
        <v>0.60814500000000005</v>
      </c>
      <c r="G40" s="98"/>
      <c r="H40" s="28"/>
      <c r="I40" s="59" t="s">
        <v>273</v>
      </c>
      <c r="J40" s="196">
        <f>Cwl!J37</f>
        <v>0.74170000000000003</v>
      </c>
      <c r="M40" s="28"/>
      <c r="N40" s="59" t="s">
        <v>273</v>
      </c>
      <c r="O40" s="59"/>
      <c r="P40" s="190">
        <f>Cwl!D40</f>
        <v>6.5301</v>
      </c>
      <c r="R40" s="98"/>
    </row>
    <row r="41" spans="1:21" ht="15" x14ac:dyDescent="0.25">
      <c r="D41" s="59" t="s">
        <v>134</v>
      </c>
      <c r="E41" s="196">
        <f>(CWD!J44+Cwl!M38)/2</f>
        <v>0.60407250000000001</v>
      </c>
      <c r="F41" s="59" t="s">
        <v>135</v>
      </c>
      <c r="G41" s="203">
        <f>E41+0.025</f>
        <v>0.62907250000000003</v>
      </c>
      <c r="H41" s="28"/>
      <c r="I41" s="59" t="s">
        <v>134</v>
      </c>
      <c r="J41" s="196">
        <f>(CWD!N44+Cwl!J37)/2</f>
        <v>0.76200094958828335</v>
      </c>
      <c r="K41" s="59" t="s">
        <v>135</v>
      </c>
      <c r="L41" s="203">
        <f>0.746579331545217+0.025</f>
        <v>0.77157933154521707</v>
      </c>
      <c r="M41" s="28"/>
      <c r="N41" s="59" t="s">
        <v>134</v>
      </c>
      <c r="O41" s="59"/>
      <c r="P41" s="190">
        <f>(CWD!L44+Cwl!D40)/2</f>
        <v>5.7650500000000005</v>
      </c>
      <c r="Q41" s="59" t="s">
        <v>135</v>
      </c>
      <c r="R41" s="203">
        <v>5.0999999999999996</v>
      </c>
      <c r="S41" s="232"/>
    </row>
    <row r="42" spans="1:21" ht="15" x14ac:dyDescent="0.25">
      <c r="A42" s="55"/>
      <c r="D42" s="59" t="s">
        <v>274</v>
      </c>
      <c r="E42" s="196">
        <f>CWD!J44</f>
        <v>0.6</v>
      </c>
      <c r="G42" s="59"/>
      <c r="H42" s="28"/>
      <c r="I42" s="59" t="s">
        <v>274</v>
      </c>
      <c r="J42" s="196">
        <f>CWD!N44</f>
        <v>0.78230189917656678</v>
      </c>
      <c r="M42" s="28"/>
      <c r="N42" s="59" t="s">
        <v>274</v>
      </c>
      <c r="O42" s="59"/>
      <c r="P42" s="190">
        <f>CWD!L44</f>
        <v>5</v>
      </c>
      <c r="R42" s="98"/>
    </row>
    <row r="44" spans="1:21" x14ac:dyDescent="0.2">
      <c r="C44" s="59" t="s">
        <v>346</v>
      </c>
      <c r="D44" s="98"/>
      <c r="E44" s="59" t="s">
        <v>139</v>
      </c>
      <c r="G44" s="98"/>
    </row>
    <row r="45" spans="1:21" ht="15" x14ac:dyDescent="0.25">
      <c r="D45" s="59" t="s">
        <v>273</v>
      </c>
      <c r="E45" s="190">
        <f>IF(Cwl!D43=0,Cwl!D42,Cwl!D43)</f>
        <v>11</v>
      </c>
      <c r="G45" s="98"/>
    </row>
    <row r="46" spans="1:21" ht="15" x14ac:dyDescent="0.25">
      <c r="D46" s="59" t="s">
        <v>134</v>
      </c>
      <c r="E46" s="190">
        <f>-'Mid Upr WL Opt1 Calcs'!D46</f>
        <v>11.093731492750081</v>
      </c>
      <c r="F46" s="59" t="s">
        <v>135</v>
      </c>
      <c r="G46" s="203"/>
    </row>
    <row r="47" spans="1:21" ht="15" x14ac:dyDescent="0.25">
      <c r="D47" s="59" t="s">
        <v>274</v>
      </c>
      <c r="E47" s="190">
        <f>IF(CWD!P46=0,CWD!P44,CWD!P46)</f>
        <v>15</v>
      </c>
      <c r="G47" s="98"/>
    </row>
    <row r="49" spans="3:21" x14ac:dyDescent="0.2">
      <c r="C49" s="59" t="s">
        <v>347</v>
      </c>
      <c r="D49" s="55" t="s">
        <v>358</v>
      </c>
      <c r="H49" s="28"/>
      <c r="J49" s="28"/>
      <c r="M49" s="28"/>
      <c r="S49" s="28"/>
    </row>
    <row r="50" spans="3:21" x14ac:dyDescent="0.2">
      <c r="C50" s="28"/>
      <c r="E50" s="28"/>
      <c r="H50" s="28"/>
      <c r="J50" s="28"/>
      <c r="M50" s="28"/>
      <c r="S50" s="28"/>
      <c r="U50" s="28"/>
    </row>
    <row r="51" spans="3:21" x14ac:dyDescent="0.2">
      <c r="C51" s="28"/>
      <c r="D51" s="59" t="s">
        <v>26</v>
      </c>
      <c r="E51" s="59" t="s">
        <v>20</v>
      </c>
      <c r="F51" s="59" t="s">
        <v>30</v>
      </c>
      <c r="G51" s="59" t="s">
        <v>31</v>
      </c>
      <c r="I51" s="55" t="s">
        <v>359</v>
      </c>
      <c r="J51" s="55" t="s">
        <v>360</v>
      </c>
      <c r="K51" s="98"/>
      <c r="L51" s="29">
        <f>'Profile Calcs'!G45-'Profile Calcs'!G65</f>
        <v>20.959762005485995</v>
      </c>
      <c r="M51" s="233" t="s">
        <v>288</v>
      </c>
      <c r="N51" s="59" t="s">
        <v>361</v>
      </c>
      <c r="O51" s="59"/>
      <c r="P51" s="59" t="s">
        <v>363</v>
      </c>
      <c r="Q51" s="59" t="s">
        <v>364</v>
      </c>
      <c r="R51" s="55" t="s">
        <v>367</v>
      </c>
      <c r="S51" s="59" t="s">
        <v>362</v>
      </c>
    </row>
    <row r="52" spans="3:21" ht="15" x14ac:dyDescent="0.25">
      <c r="C52" s="28"/>
      <c r="D52" s="199">
        <v>1</v>
      </c>
      <c r="E52" s="199">
        <v>0</v>
      </c>
      <c r="F52" s="130">
        <f t="shared" ref="F52:F72" si="0">D52/$D$74</f>
        <v>1</v>
      </c>
      <c r="G52" s="130">
        <f>E52/$E$74</f>
        <v>0</v>
      </c>
      <c r="H52" s="28"/>
      <c r="I52" s="190">
        <f>IF(S52=0,0,90-ATAN(N52/S52)/PI()*180)</f>
        <v>1.4371238006268783</v>
      </c>
      <c r="J52" s="199"/>
      <c r="L52" s="29">
        <f t="shared" ref="L52:L71" si="1">F52*$L$51+$L$72</f>
        <v>20.154922831660123</v>
      </c>
      <c r="M52" s="29">
        <f>_xll.Spline('Profile Calcs'!$G$45:$G$65,'Profile Calcs'!$J$45:$J$65,CMUpr!L52,TRUE)</f>
        <v>4.6097699748028926</v>
      </c>
      <c r="N52" s="29">
        <f>M52/2</f>
        <v>2.3048849874014463</v>
      </c>
      <c r="O52" s="29">
        <v>0</v>
      </c>
      <c r="P52" s="28">
        <f>'Cxx Selected'!I52</f>
        <v>4.3174562987685938</v>
      </c>
      <c r="Q52" s="28">
        <f t="shared" ref="Q52:Q72" si="2">G52*$G$36</f>
        <v>0</v>
      </c>
      <c r="R52" s="28">
        <f>'Cxx Selected'!I4</f>
        <v>4.3174562987685938</v>
      </c>
      <c r="S52" s="28">
        <f>P72-Q52</f>
        <v>5.782450164578129E-2</v>
      </c>
    </row>
    <row r="53" spans="3:21" ht="15" x14ac:dyDescent="0.25">
      <c r="C53" s="28"/>
      <c r="D53" s="199">
        <v>0.95</v>
      </c>
      <c r="E53" s="199">
        <v>0.29696790615320018</v>
      </c>
      <c r="F53" s="130">
        <f t="shared" si="0"/>
        <v>0.95</v>
      </c>
      <c r="G53" s="130">
        <f t="shared" ref="G53:G72" si="3">E53/$E$74</f>
        <v>0.29653314100730277</v>
      </c>
      <c r="H53" s="28"/>
      <c r="I53" s="190">
        <f t="shared" ref="I53:I72" si="4">IF(S53=0,0,90-ATAN(N53/S53)/PI()*180)</f>
        <v>167.9811291326692</v>
      </c>
      <c r="J53" s="199"/>
      <c r="L53" s="29">
        <f t="shared" si="1"/>
        <v>19.106934731385824</v>
      </c>
      <c r="M53" s="29">
        <f>_xll.Spline('Profile Calcs'!$G$45:$G$65,'Profile Calcs'!$J$45:$J$65,CMUpr!L53,TRUE)</f>
        <v>4.5581699660217403</v>
      </c>
      <c r="N53" s="29">
        <f t="shared" ref="N53:N72" si="5">M53/2</f>
        <v>2.2790849830108701</v>
      </c>
      <c r="O53" s="29">
        <v>0</v>
      </c>
      <c r="P53" s="28">
        <f>'Cxx Selected'!I53</f>
        <v>4.8968849193424031</v>
      </c>
      <c r="Q53" s="28">
        <f t="shared" si="2"/>
        <v>2.1052033272256039</v>
      </c>
      <c r="R53" s="28">
        <f>'Cxx Selected'!I5</f>
        <v>4.7512875356572248</v>
      </c>
      <c r="S53" s="28">
        <f>P71-Q53</f>
        <v>-0.48521907330210778</v>
      </c>
    </row>
    <row r="54" spans="3:21" ht="15" x14ac:dyDescent="0.25">
      <c r="C54" s="28"/>
      <c r="D54" s="199">
        <v>0.9</v>
      </c>
      <c r="E54" s="199">
        <v>0.42848469575069426</v>
      </c>
      <c r="F54" s="130">
        <f t="shared" si="0"/>
        <v>0.9</v>
      </c>
      <c r="G54" s="130">
        <f t="shared" si="3"/>
        <v>0.4278573881952214</v>
      </c>
      <c r="H54" s="28"/>
      <c r="I54" s="190">
        <f t="shared" si="4"/>
        <v>177.15274467465662</v>
      </c>
      <c r="J54" s="199"/>
      <c r="L54" s="29">
        <f t="shared" si="1"/>
        <v>18.058946631111525</v>
      </c>
      <c r="M54" s="29">
        <f>_xll.Spline('Profile Calcs'!$G$45:$G$65,'Profile Calcs'!$J$45:$J$65,CMUpr!L54,TRUE)</f>
        <v>4.5065700098925907</v>
      </c>
      <c r="N54" s="29">
        <f t="shared" si="5"/>
        <v>2.2532850049462954</v>
      </c>
      <c r="O54" s="29">
        <v>0</v>
      </c>
      <c r="P54" s="28">
        <f>'Cxx Selected'!I54</f>
        <v>5.4558256613171521</v>
      </c>
      <c r="Q54" s="28">
        <f t="shared" si="2"/>
        <v>3.0375248923170259</v>
      </c>
      <c r="R54" s="28">
        <f>'Cxx Selected'!I6</f>
        <v>5.1669140051513978</v>
      </c>
      <c r="S54" s="28">
        <f>P70-Q54</f>
        <v>-0.11206696480175582</v>
      </c>
    </row>
    <row r="55" spans="3:21" ht="15" x14ac:dyDescent="0.25">
      <c r="D55" s="199">
        <v>0.85</v>
      </c>
      <c r="E55" s="199">
        <v>0.56574091783059255</v>
      </c>
      <c r="F55" s="130">
        <f t="shared" si="0"/>
        <v>0.85</v>
      </c>
      <c r="G55" s="130">
        <f t="shared" si="3"/>
        <v>0.56491266525654549</v>
      </c>
      <c r="H55" s="28"/>
      <c r="I55" s="190">
        <f t="shared" si="4"/>
        <v>179.57261237822013</v>
      </c>
      <c r="J55" s="199"/>
      <c r="L55" s="29">
        <f t="shared" si="1"/>
        <v>17.010958530837222</v>
      </c>
      <c r="M55" s="29">
        <f>_xll.Spline('Profile Calcs'!$G$45:$G$65,'Profile Calcs'!$J$45:$J$65,CMUpr!L55,TRUE)</f>
        <v>4.454969725804327</v>
      </c>
      <c r="N55" s="29">
        <f t="shared" si="5"/>
        <v>2.2274848629021635</v>
      </c>
      <c r="O55" s="29">
        <v>0</v>
      </c>
      <c r="P55" s="28">
        <f>'Cxx Selected'!I55</f>
        <v>5.9541635429571977</v>
      </c>
      <c r="Q55" s="28">
        <f t="shared" si="2"/>
        <v>4.010533252540144</v>
      </c>
      <c r="R55" s="28">
        <f>'Cxx Selected'!I7</f>
        <v>5.5718841827978496</v>
      </c>
      <c r="S55" s="28">
        <f>P69-Q55</f>
        <v>-1.6615833198776908E-2</v>
      </c>
    </row>
    <row r="56" spans="3:21" ht="15" x14ac:dyDescent="0.25">
      <c r="D56" s="199">
        <v>0.8</v>
      </c>
      <c r="E56" s="199">
        <v>0.67124695151779024</v>
      </c>
      <c r="F56" s="130">
        <f t="shared" si="0"/>
        <v>0.8</v>
      </c>
      <c r="G56" s="130">
        <f t="shared" si="3"/>
        <v>0.67026423664267076</v>
      </c>
      <c r="H56" s="38"/>
      <c r="I56" s="190">
        <f t="shared" si="4"/>
        <v>2.4171639779083449</v>
      </c>
      <c r="J56" s="199"/>
      <c r="L56" s="29">
        <f t="shared" si="1"/>
        <v>15.962970430562926</v>
      </c>
      <c r="M56" s="29">
        <f>_xll.Spline('Profile Calcs'!$G$45:$G$65,'Profile Calcs'!$J$45:$J$65,CMUpr!L56,TRUE)</f>
        <v>4.4033711912733997</v>
      </c>
      <c r="N56" s="29">
        <f t="shared" si="5"/>
        <v>2.2016855956366999</v>
      </c>
      <c r="O56" s="29">
        <v>0</v>
      </c>
      <c r="P56" s="28">
        <f>'Cxx Selected'!I56</f>
        <v>6.3699909795020631</v>
      </c>
      <c r="Q56" s="28">
        <f t="shared" si="2"/>
        <v>4.7584647581287713</v>
      </c>
      <c r="R56" s="28">
        <f>'Cxx Selected'!I8</f>
        <v>5.9613346378560355</v>
      </c>
      <c r="S56" s="28">
        <f>P68-Q56</f>
        <v>9.2938688391294377E-2</v>
      </c>
    </row>
    <row r="57" spans="3:21" ht="15" x14ac:dyDescent="0.25">
      <c r="D57" s="199">
        <v>0.75</v>
      </c>
      <c r="E57" s="199">
        <v>0.77619101019587844</v>
      </c>
      <c r="F57" s="130">
        <f t="shared" si="0"/>
        <v>0.75</v>
      </c>
      <c r="G57" s="130">
        <f t="shared" si="3"/>
        <v>0.77505465575891785</v>
      </c>
      <c r="I57" s="190">
        <f t="shared" si="4"/>
        <v>0.64500495422987569</v>
      </c>
      <c r="J57" s="199"/>
      <c r="K57" s="98"/>
      <c r="L57" s="29">
        <f t="shared" si="1"/>
        <v>14.914982330288623</v>
      </c>
      <c r="M57" s="29">
        <f>_xll.Spline('Profile Calcs'!$G$45:$G$65,'Profile Calcs'!$J$45:$J$65,CMUpr!L57,TRUE)</f>
        <v>4.3517640780203317</v>
      </c>
      <c r="N57" s="29">
        <f t="shared" si="5"/>
        <v>2.1758820390101659</v>
      </c>
      <c r="O57" s="29">
        <v>0</v>
      </c>
      <c r="P57" s="28">
        <f>'Cxx Selected'!I57</f>
        <v>6.6947107817982232</v>
      </c>
      <c r="Q57" s="28">
        <f t="shared" si="2"/>
        <v>5.5024124269643977</v>
      </c>
      <c r="R57" s="28">
        <f>'Cxx Selected'!I9</f>
        <v>6.3220120830335524</v>
      </c>
      <c r="S57" s="28">
        <f>P67-Q57</f>
        <v>2.4495940132243099E-2</v>
      </c>
    </row>
    <row r="58" spans="3:21" ht="15" x14ac:dyDescent="0.25">
      <c r="D58" s="199">
        <v>0.7</v>
      </c>
      <c r="E58" s="199">
        <v>0.84867643382723046</v>
      </c>
      <c r="F58" s="130">
        <f t="shared" si="0"/>
        <v>0.7</v>
      </c>
      <c r="G58" s="130">
        <f t="shared" si="3"/>
        <v>0.84743395972168767</v>
      </c>
      <c r="I58" s="190">
        <f t="shared" si="4"/>
        <v>0.88603362987633716</v>
      </c>
      <c r="J58" s="199"/>
      <c r="K58" s="98"/>
      <c r="L58" s="29">
        <f t="shared" si="1"/>
        <v>13.866994230014324</v>
      </c>
      <c r="M58" s="29">
        <f>_xll.Spline('Profile Calcs'!$G$45:$G$65,'Profile Calcs'!$J$45:$J$65,CMUpr!L58,TRUE)</f>
        <v>4.3001968315910943</v>
      </c>
      <c r="N58" s="29">
        <f t="shared" si="5"/>
        <v>2.1500984157955472</v>
      </c>
      <c r="O58" s="29">
        <v>0</v>
      </c>
      <c r="P58" s="28">
        <f>'Cxx Selected'!I58</f>
        <v>6.9286934336401842</v>
      </c>
      <c r="Q58" s="28">
        <f t="shared" si="2"/>
        <v>6.0162610679867639</v>
      </c>
      <c r="R58" s="28">
        <f>'Cxx Selected'!I10</f>
        <v>6.6357700730737044</v>
      </c>
      <c r="S58" s="28">
        <f>P66-Q58</f>
        <v>3.3252211494855466E-2</v>
      </c>
    </row>
    <row r="59" spans="3:21" ht="15" x14ac:dyDescent="0.25">
      <c r="D59" s="199">
        <v>0.65</v>
      </c>
      <c r="E59" s="199">
        <v>0.9107159008620177</v>
      </c>
      <c r="F59" s="130">
        <f t="shared" si="0"/>
        <v>0.65</v>
      </c>
      <c r="G59" s="130">
        <f t="shared" si="3"/>
        <v>0.90938260011366978</v>
      </c>
      <c r="I59" s="190">
        <f t="shared" si="4"/>
        <v>179.7308429590031</v>
      </c>
      <c r="J59" s="199"/>
      <c r="K59" s="98"/>
      <c r="L59" s="29">
        <f t="shared" si="1"/>
        <v>12.819006129740025</v>
      </c>
      <c r="M59" s="29">
        <f>_xll.Spline('Profile Calcs'!$G$45:$G$65,'Profile Calcs'!$J$45:$J$65,CMUpr!L59,TRUE)</f>
        <v>4.2484511240338447</v>
      </c>
      <c r="N59" s="29">
        <f t="shared" si="5"/>
        <v>2.1242255620169224</v>
      </c>
      <c r="O59" s="29">
        <v>0</v>
      </c>
      <c r="P59" s="28">
        <f>'Cxx Selected'!I59</f>
        <v>7.077488647820843</v>
      </c>
      <c r="Q59" s="28">
        <f t="shared" si="2"/>
        <v>6.4560583986571034</v>
      </c>
      <c r="R59" s="28">
        <f>'Cxx Selected'!I11</f>
        <v>6.8825403521952069</v>
      </c>
      <c r="S59" s="28">
        <f>P65-Q59</f>
        <v>-9.9789980589317651E-3</v>
      </c>
    </row>
    <row r="60" spans="3:21" ht="15" x14ac:dyDescent="0.25">
      <c r="D60" s="199">
        <v>0.60000000000000009</v>
      </c>
      <c r="E60" s="199">
        <v>0.94839945497008982</v>
      </c>
      <c r="F60" s="130">
        <f t="shared" si="0"/>
        <v>0.60000000000000009</v>
      </c>
      <c r="G60" s="130">
        <f t="shared" si="3"/>
        <v>0.94701098497429037</v>
      </c>
      <c r="I60" s="190">
        <f t="shared" si="4"/>
        <v>0.44489710699848217</v>
      </c>
      <c r="J60" s="199"/>
      <c r="K60" s="98"/>
      <c r="L60" s="29">
        <f t="shared" si="1"/>
        <v>11.771018029465727</v>
      </c>
      <c r="M60" s="29">
        <f>_xll.Spline('Profile Calcs'!$G$45:$G$65,'Profile Calcs'!$J$45:$J$65,CMUpr!L60,TRUE)</f>
        <v>4.1974822319611711</v>
      </c>
      <c r="N60" s="29">
        <f t="shared" si="5"/>
        <v>2.0987411159805855</v>
      </c>
      <c r="O60" s="29">
        <v>0</v>
      </c>
      <c r="P60" s="28">
        <f>'Cxx Selected'!I60</f>
        <v>7.1485912008911416</v>
      </c>
      <c r="Q60" s="28">
        <f t="shared" si="2"/>
        <v>6.7231968397015507</v>
      </c>
      <c r="R60" s="28">
        <f>'Cxx Selected'!I12</f>
        <v>7.0427788503840265</v>
      </c>
      <c r="S60" s="28">
        <f>P64-Q60</f>
        <v>1.6296883037455245E-2</v>
      </c>
    </row>
    <row r="61" spans="3:21" ht="15" x14ac:dyDescent="0.25">
      <c r="D61" s="199">
        <v>0.55000000000000004</v>
      </c>
      <c r="E61" s="199">
        <v>0.9779549079262978</v>
      </c>
      <c r="F61" s="130">
        <f t="shared" si="0"/>
        <v>0.55000000000000004</v>
      </c>
      <c r="G61" s="130">
        <f t="shared" si="3"/>
        <v>0.97652316833620778</v>
      </c>
      <c r="I61" s="190">
        <f t="shared" si="4"/>
        <v>0.40804708201569895</v>
      </c>
      <c r="J61" s="199"/>
      <c r="K61" s="98"/>
      <c r="L61" s="29">
        <f t="shared" si="1"/>
        <v>10.723029929191426</v>
      </c>
      <c r="M61" s="29">
        <f>_xll.Spline('Profile Calcs'!$G$45:$G$65,'Profile Calcs'!$J$45:$J$65,CMUpr!L61,TRUE)</f>
        <v>4.1432057183766924</v>
      </c>
      <c r="N61" s="29">
        <f t="shared" si="5"/>
        <v>2.0716028591883462</v>
      </c>
      <c r="O61" s="29">
        <v>0</v>
      </c>
      <c r="P61" s="28">
        <f>'Cxx Selected'!I61</f>
        <v>7.1487610466289793</v>
      </c>
      <c r="Q61" s="28">
        <f t="shared" si="2"/>
        <v>6.9327152307864468</v>
      </c>
      <c r="R61" s="28">
        <f>'Cxx Selected'!I13</f>
        <v>7.0993863285373875</v>
      </c>
      <c r="S61" s="28">
        <f>P63-Q61</f>
        <v>1.4753718345933642E-2</v>
      </c>
    </row>
    <row r="62" spans="3:21" ht="15" x14ac:dyDescent="0.25">
      <c r="D62" s="199">
        <v>0.5</v>
      </c>
      <c r="E62" s="199">
        <v>1.0014661603907764</v>
      </c>
      <c r="F62" s="130">
        <f t="shared" si="0"/>
        <v>0.5</v>
      </c>
      <c r="G62" s="130">
        <f t="shared" si="3"/>
        <v>1</v>
      </c>
      <c r="I62" s="190">
        <f t="shared" si="4"/>
        <v>179.51173965158981</v>
      </c>
      <c r="J62" s="199"/>
      <c r="K62" s="98"/>
      <c r="L62" s="29">
        <f t="shared" si="1"/>
        <v>9.6750418289171254</v>
      </c>
      <c r="M62" s="29">
        <f>_xll.Spline('Profile Calcs'!$G$45:$G$65,'Profile Calcs'!$J$45:$J$65,CMUpr!L62,TRUE)</f>
        <v>4.104367193698776</v>
      </c>
      <c r="N62" s="29">
        <f t="shared" si="5"/>
        <v>2.052183596849388</v>
      </c>
      <c r="O62" s="29">
        <v>0</v>
      </c>
      <c r="P62" s="28">
        <f>'Cxx Selected'!I62</f>
        <v>7.0818977082174639</v>
      </c>
      <c r="Q62" s="28">
        <f t="shared" si="2"/>
        <v>7.0993863285377552</v>
      </c>
      <c r="R62" s="28">
        <f>'Cxx Selected'!I14</f>
        <v>7.0391036724598841</v>
      </c>
      <c r="S62" s="38">
        <f>P62-Q62</f>
        <v>-1.7488620320291304E-2</v>
      </c>
    </row>
    <row r="63" spans="3:21" ht="15" x14ac:dyDescent="0.25">
      <c r="D63" s="199">
        <v>0.45000000000000007</v>
      </c>
      <c r="E63" s="199">
        <v>0.99651419322903922</v>
      </c>
      <c r="F63" s="130">
        <f t="shared" si="0"/>
        <v>0.45000000000000007</v>
      </c>
      <c r="G63" s="130">
        <f t="shared" si="3"/>
        <v>0.99505528258707721</v>
      </c>
      <c r="I63" s="190">
        <f t="shared" si="4"/>
        <v>2.3514125338057852</v>
      </c>
      <c r="J63" s="199"/>
      <c r="K63" s="98"/>
      <c r="L63" s="29">
        <f t="shared" si="1"/>
        <v>8.6270537286428262</v>
      </c>
      <c r="M63" s="29">
        <f>_xll.Spline('Profile Calcs'!$G$45:$G$65,'Profile Calcs'!$J$45:$J$65,CMUpr!L63,TRUE)</f>
        <v>4.1146183232371714</v>
      </c>
      <c r="N63" s="29">
        <f t="shared" si="5"/>
        <v>2.0573091616185857</v>
      </c>
      <c r="O63" s="29">
        <v>0</v>
      </c>
      <c r="P63" s="28">
        <f>'Cxx Selected'!I63</f>
        <v>6.9474689491323804</v>
      </c>
      <c r="Q63" s="28">
        <f t="shared" si="2"/>
        <v>7.0642818693379681</v>
      </c>
      <c r="R63" s="28">
        <f>'Cxx Selected'!I15</f>
        <v>6.8533818357117688</v>
      </c>
      <c r="S63" s="28">
        <f>P61-Q63</f>
        <v>8.4479177291011176E-2</v>
      </c>
    </row>
    <row r="64" spans="3:21" ht="15" x14ac:dyDescent="0.25">
      <c r="D64" s="199">
        <v>0.4</v>
      </c>
      <c r="E64" s="199">
        <v>0.99182547966505008</v>
      </c>
      <c r="F64" s="130">
        <f t="shared" si="0"/>
        <v>0.4</v>
      </c>
      <c r="G64" s="130">
        <f t="shared" si="3"/>
        <v>0.99037343336497308</v>
      </c>
      <c r="I64" s="190">
        <f t="shared" si="4"/>
        <v>3.2366241308881172</v>
      </c>
      <c r="J64" s="199"/>
      <c r="K64" s="98"/>
      <c r="L64" s="29">
        <f t="shared" si="1"/>
        <v>7.5790656283685269</v>
      </c>
      <c r="M64" s="29">
        <f>_xll.Spline('Profile Calcs'!$G$45:$G$65,'Profile Calcs'!$J$45:$J$65,CMUpr!L64,TRUE)</f>
        <v>4.1573039702269075</v>
      </c>
      <c r="N64" s="29">
        <f t="shared" si="5"/>
        <v>2.0786519851134537</v>
      </c>
      <c r="O64" s="29">
        <v>0</v>
      </c>
      <c r="P64" s="28">
        <f>'Cxx Selected'!I64</f>
        <v>6.7394937227390059</v>
      </c>
      <c r="Q64" s="28">
        <f t="shared" si="2"/>
        <v>7.0310436129782872</v>
      </c>
      <c r="R64" s="28">
        <f>'Cxx Selected'!I16</f>
        <v>6.538726431309354</v>
      </c>
      <c r="S64" s="28">
        <f>P60-Q64</f>
        <v>0.11754758791285447</v>
      </c>
    </row>
    <row r="65" spans="3:19" ht="15" x14ac:dyDescent="0.25">
      <c r="D65" s="199">
        <v>0.35</v>
      </c>
      <c r="E65" s="199">
        <v>0.98685705979302374</v>
      </c>
      <c r="F65" s="130">
        <f t="shared" si="0"/>
        <v>0.35</v>
      </c>
      <c r="G65" s="130">
        <f t="shared" si="3"/>
        <v>0.98541228732875796</v>
      </c>
      <c r="I65" s="190">
        <f t="shared" si="4"/>
        <v>2.1938086218686692</v>
      </c>
      <c r="J65" s="199"/>
      <c r="K65" s="98"/>
      <c r="L65" s="29">
        <f t="shared" si="1"/>
        <v>6.5310775280942259</v>
      </c>
      <c r="M65" s="29">
        <f>_xll.Spline('Profile Calcs'!$G$45:$G$65,'Profile Calcs'!$J$45:$J$65,CMUpr!L65,TRUE)</f>
        <v>4.2636696005396386</v>
      </c>
      <c r="N65" s="29">
        <f t="shared" si="5"/>
        <v>2.1318348002698193</v>
      </c>
      <c r="O65" s="29">
        <v>0</v>
      </c>
      <c r="P65" s="28">
        <f>'Cxx Selected'!I65</f>
        <v>6.4460794005981716</v>
      </c>
      <c r="Q65" s="28">
        <f t="shared" si="2"/>
        <v>6.9958225206349027</v>
      </c>
      <c r="R65" s="28">
        <f>'Cxx Selected'!I17</f>
        <v>6.0965169722775912</v>
      </c>
      <c r="S65" s="28">
        <f>P59-Q65</f>
        <v>8.166612718594024E-2</v>
      </c>
    </row>
    <row r="66" spans="3:19" ht="15" x14ac:dyDescent="0.25">
      <c r="D66" s="199">
        <v>0.29999999999999993</v>
      </c>
      <c r="E66" s="199">
        <v>0.956259504102281</v>
      </c>
      <c r="F66" s="130">
        <f t="shared" si="0"/>
        <v>0.29999999999999993</v>
      </c>
      <c r="G66" s="130">
        <f t="shared" si="3"/>
        <v>0.95485952688520637</v>
      </c>
      <c r="I66" s="190">
        <f t="shared" si="4"/>
        <v>3.8697068915574278</v>
      </c>
      <c r="J66" s="199"/>
      <c r="K66" s="98"/>
      <c r="L66" s="29">
        <f t="shared" si="1"/>
        <v>5.4830894278199249</v>
      </c>
      <c r="M66" s="29">
        <f>_xll.Spline('Profile Calcs'!$G$45:$G$65,'Profile Calcs'!$J$45:$J$65,CMUpr!L66,TRUE)</f>
        <v>4.4285131999976315</v>
      </c>
      <c r="N66" s="29">
        <f t="shared" si="5"/>
        <v>2.2142565999988157</v>
      </c>
      <c r="O66" s="29">
        <v>0</v>
      </c>
      <c r="P66" s="28">
        <f>'Cxx Selected'!I66</f>
        <v>6.0495132794816193</v>
      </c>
      <c r="Q66" s="28">
        <f t="shared" si="2"/>
        <v>6.7789166708428628</v>
      </c>
      <c r="R66" s="28">
        <f>'Cxx Selected'!I18</f>
        <v>5.5323007610547359</v>
      </c>
      <c r="S66" s="28">
        <f>P58-Q66</f>
        <v>0.14977676279732144</v>
      </c>
    </row>
    <row r="67" spans="3:19" ht="15" x14ac:dyDescent="0.25">
      <c r="D67" s="199">
        <v>0.24999999999999989</v>
      </c>
      <c r="E67" s="199">
        <v>0.9162626153766843</v>
      </c>
      <c r="F67" s="130">
        <f t="shared" si="0"/>
        <v>0.24999999999999989</v>
      </c>
      <c r="G67" s="130">
        <f t="shared" si="3"/>
        <v>0.91492119416112339</v>
      </c>
      <c r="I67" s="190">
        <f t="shared" si="4"/>
        <v>4.8969126665933231</v>
      </c>
      <c r="J67" s="199"/>
      <c r="K67" s="98"/>
      <c r="L67" s="29">
        <f t="shared" si="1"/>
        <v>4.4351013275456239</v>
      </c>
      <c r="M67" s="29">
        <f>_xll.Spline('Profile Calcs'!$G$45:$G$65,'Profile Calcs'!$J$45:$J$65,CMUpr!L67,TRUE)</f>
        <v>4.6531549793291633</v>
      </c>
      <c r="N67" s="29">
        <f t="shared" si="5"/>
        <v>2.3265774896645817</v>
      </c>
      <c r="O67" s="29">
        <v>0</v>
      </c>
      <c r="P67" s="28">
        <f>'Cxx Selected'!I67</f>
        <v>5.5269083670966408</v>
      </c>
      <c r="Q67" s="28">
        <f t="shared" si="2"/>
        <v>6.4953790175169166</v>
      </c>
      <c r="R67" s="28">
        <f>'Cxx Selected'!I19</f>
        <v>4.8545614277492115</v>
      </c>
      <c r="S67" s="28">
        <f>P57-Q67</f>
        <v>0.19933176428130661</v>
      </c>
    </row>
    <row r="68" spans="3:19" ht="15" x14ac:dyDescent="0.25">
      <c r="D68" s="199">
        <v>0.19999999999999984</v>
      </c>
      <c r="E68" s="199">
        <v>0.8692986301353276</v>
      </c>
      <c r="F68" s="130">
        <f t="shared" si="0"/>
        <v>0.19999999999999984</v>
      </c>
      <c r="G68" s="130">
        <f t="shared" si="3"/>
        <v>0.86802596484750272</v>
      </c>
      <c r="I68" s="190">
        <f t="shared" si="4"/>
        <v>4.8056118795467597</v>
      </c>
      <c r="J68" s="199"/>
      <c r="K68" s="98"/>
      <c r="L68" s="29">
        <f t="shared" si="1"/>
        <v>3.3871132272713238</v>
      </c>
      <c r="M68" s="29">
        <f>_xll.Spline('Profile Calcs'!$G$45:$G$65,'Profile Calcs'!$J$45:$J$65,CMUpr!L68,TRUE)</f>
        <v>4.9372400187985388</v>
      </c>
      <c r="N68" s="29">
        <f t="shared" si="5"/>
        <v>2.4686200093992694</v>
      </c>
      <c r="O68" s="29">
        <v>0</v>
      </c>
      <c r="P68" s="28">
        <f>'Cxx Selected'!I68</f>
        <v>4.8514034465200657</v>
      </c>
      <c r="Q68" s="28">
        <f t="shared" si="2"/>
        <v>6.162451667654155</v>
      </c>
      <c r="R68" s="28">
        <f>'Cxx Selected'!I20</f>
        <v>4.0729621172485997</v>
      </c>
      <c r="S68" s="28">
        <f>P56-Q68</f>
        <v>0.20753931184790808</v>
      </c>
    </row>
    <row r="69" spans="3:19" ht="15" x14ac:dyDescent="0.25">
      <c r="D69" s="199">
        <v>0.1499999999999998</v>
      </c>
      <c r="E69" s="199">
        <v>0.80156768980916449</v>
      </c>
      <c r="F69" s="130">
        <f t="shared" si="0"/>
        <v>0.1499999999999998</v>
      </c>
      <c r="G69" s="130">
        <f t="shared" si="3"/>
        <v>0.80039418356022063</v>
      </c>
      <c r="I69" s="190">
        <f t="shared" si="4"/>
        <v>5.878318040914948</v>
      </c>
      <c r="J69" s="199"/>
      <c r="K69" s="98"/>
      <c r="L69" s="29">
        <f t="shared" si="1"/>
        <v>2.3391251269970228</v>
      </c>
      <c r="M69" s="29">
        <f>_xll.Spline('Profile Calcs'!$G$45:$G$65,'Profile Calcs'!$J$45:$J$65,CMUpr!L69,TRUE)</f>
        <v>5.2809366968587916</v>
      </c>
      <c r="N69" s="29">
        <f t="shared" si="5"/>
        <v>2.6404683484293958</v>
      </c>
      <c r="O69" s="29">
        <v>0</v>
      </c>
      <c r="P69" s="28">
        <f>'Cxx Selected'!I69</f>
        <v>3.9939174193413671</v>
      </c>
      <c r="Q69" s="28">
        <f t="shared" si="2"/>
        <v>5.6823075242085688</v>
      </c>
      <c r="R69" s="28">
        <f>'Cxx Selected'!I21</f>
        <v>3.19606332518075</v>
      </c>
      <c r="S69" s="28">
        <f>P55-Q69</f>
        <v>0.27185601874862897</v>
      </c>
    </row>
    <row r="70" spans="3:19" ht="15" x14ac:dyDescent="0.25">
      <c r="D70" s="199">
        <v>9.9999999999999756E-2</v>
      </c>
      <c r="E70" s="199">
        <v>0.72037056058960558</v>
      </c>
      <c r="F70" s="130">
        <f t="shared" si="0"/>
        <v>9.9999999999999756E-2</v>
      </c>
      <c r="G70" s="130">
        <f t="shared" si="3"/>
        <v>0.71931592806741851</v>
      </c>
      <c r="I70" s="190">
        <f t="shared" si="4"/>
        <v>7.0033956639551036</v>
      </c>
      <c r="J70" s="199"/>
      <c r="K70" s="98"/>
      <c r="L70" s="29">
        <f t="shared" si="1"/>
        <v>1.2911370267227222</v>
      </c>
      <c r="M70" s="29">
        <f>_xll.Spline('Profile Calcs'!$G$45:$G$65,'Profile Calcs'!$J$45:$J$65,CMUpr!L70,TRUE)</f>
        <v>5.6839886111528806</v>
      </c>
      <c r="N70" s="29">
        <f t="shared" si="5"/>
        <v>2.8419943055764403</v>
      </c>
      <c r="O70" s="29">
        <v>0</v>
      </c>
      <c r="P70" s="28">
        <f>'Cxx Selected'!I70</f>
        <v>2.9254579275152701</v>
      </c>
      <c r="Q70" s="28">
        <f t="shared" si="2"/>
        <v>5.1067016656212783</v>
      </c>
      <c r="R70" s="28">
        <f>'Cxx Selected'!I22</f>
        <v>2.2285153827270259</v>
      </c>
      <c r="S70" s="28">
        <f>P54-Q70</f>
        <v>0.34912399569587382</v>
      </c>
    </row>
    <row r="71" spans="3:19" ht="15" x14ac:dyDescent="0.25">
      <c r="D71" s="199">
        <v>4.9999999999999711E-2</v>
      </c>
      <c r="E71" s="199">
        <v>0.65008160181524999</v>
      </c>
      <c r="F71" s="130">
        <f t="shared" si="0"/>
        <v>4.9999999999999711E-2</v>
      </c>
      <c r="G71" s="130">
        <f>E71/$E$74</f>
        <v>0.64912987330653826</v>
      </c>
      <c r="I71" s="190">
        <f t="shared" si="4"/>
        <v>5.3618054878358663</v>
      </c>
      <c r="J71" s="199"/>
      <c r="K71" s="98"/>
      <c r="L71" s="29">
        <f t="shared" si="1"/>
        <v>0.24314892644842157</v>
      </c>
      <c r="M71" s="29">
        <f>_xll.Spline('Profile Calcs'!$G$45:$G$65,'Profile Calcs'!$J$45:$J$65,CMUpr!L71,TRUE)</f>
        <v>6.1469342903075432</v>
      </c>
      <c r="N71" s="29">
        <f t="shared" si="5"/>
        <v>3.0734671451537716</v>
      </c>
      <c r="O71" s="29">
        <v>0</v>
      </c>
      <c r="P71" s="28">
        <f>'Cxx Selected'!I71</f>
        <v>1.6199842539234961</v>
      </c>
      <c r="Q71" s="28">
        <f t="shared" si="2"/>
        <v>4.6084237479978825</v>
      </c>
      <c r="R71" s="28">
        <f>'Cxx Selected'!I23</f>
        <v>1.1677255902877577</v>
      </c>
      <c r="S71" s="28">
        <f>P53-Q71</f>
        <v>0.28846117134452065</v>
      </c>
    </row>
    <row r="72" spans="3:19" ht="15" x14ac:dyDescent="0.25">
      <c r="D72" s="199">
        <v>0</v>
      </c>
      <c r="E72" s="199">
        <v>0.55064299673172812</v>
      </c>
      <c r="F72" s="130">
        <f t="shared" si="0"/>
        <v>0</v>
      </c>
      <c r="G72" s="130">
        <f t="shared" si="3"/>
        <v>0.54983684772420549</v>
      </c>
      <c r="I72" s="190">
        <f t="shared" si="4"/>
        <v>7.0766027251849408</v>
      </c>
      <c r="J72" s="199"/>
      <c r="K72" s="98"/>
      <c r="L72" s="29">
        <f>'Profile Calcs'!G65</f>
        <v>-0.80483917382587211</v>
      </c>
      <c r="M72" s="29">
        <f>_xll.Spline('Profile Calcs'!$G$45:$G$65,'Profile Calcs'!$J$45:$J$65,CMUpr!L72,TRUE)</f>
        <v>6.6690144748028946</v>
      </c>
      <c r="N72" s="29">
        <f t="shared" si="5"/>
        <v>3.3345072374014473</v>
      </c>
      <c r="O72" s="29">
        <v>0</v>
      </c>
      <c r="P72" s="28">
        <f>'Cxx Selected'!I72</f>
        <v>5.782450164578129E-2</v>
      </c>
      <c r="Q72" s="28">
        <f t="shared" si="2"/>
        <v>3.9035041996595199</v>
      </c>
      <c r="R72" s="28">
        <f>'Cxx Selected'!I24</f>
        <v>-2.2699878228436815E-13</v>
      </c>
      <c r="S72" s="28">
        <f>P52-Q72</f>
        <v>0.41395209910907393</v>
      </c>
    </row>
    <row r="73" spans="3:19" x14ac:dyDescent="0.2">
      <c r="E73" s="28"/>
      <c r="J73" s="28"/>
      <c r="K73" s="98"/>
      <c r="M73" s="28"/>
      <c r="Q73" s="98"/>
    </row>
    <row r="74" spans="3:19" ht="15" x14ac:dyDescent="0.25">
      <c r="D74" s="130">
        <f>MAX(D52:D72)</f>
        <v>1</v>
      </c>
      <c r="E74" s="130">
        <f>MAX(E52:E72)</f>
        <v>1.0014661603907764</v>
      </c>
      <c r="F74" s="55" t="s">
        <v>343</v>
      </c>
      <c r="J74" s="28"/>
      <c r="K74" s="98"/>
      <c r="M74" s="28"/>
      <c r="Q74" s="98"/>
    </row>
    <row r="76" spans="3:19" ht="15" x14ac:dyDescent="0.25">
      <c r="C76" s="55" t="s">
        <v>344</v>
      </c>
      <c r="E76" s="208">
        <v>2</v>
      </c>
    </row>
  </sheetData>
  <phoneticPr fontId="12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9:AA51"/>
  <sheetViews>
    <sheetView zoomScale="80" zoomScaleNormal="80" workbookViewId="0">
      <pane ySplit="28" topLeftCell="A49" activePane="bottomLeft" state="frozen"/>
      <selection activeCell="B22" sqref="B22"/>
      <selection pane="bottomLeft" activeCell="E50" sqref="E50"/>
    </sheetView>
  </sheetViews>
  <sheetFormatPr defaultRowHeight="15" x14ac:dyDescent="0.25"/>
  <cols>
    <col min="1" max="1" width="3.5703125" bestFit="1" customWidth="1"/>
    <col min="2" max="2" width="11.85546875" bestFit="1" customWidth="1"/>
    <col min="3" max="3" width="10.5703125" bestFit="1" customWidth="1"/>
    <col min="4" max="4" width="13.85546875" bestFit="1" customWidth="1"/>
    <col min="5" max="5" width="10.140625" bestFit="1" customWidth="1"/>
    <col min="6" max="7" width="7.5703125" bestFit="1" customWidth="1"/>
    <col min="8" max="8" width="12.7109375" bestFit="1" customWidth="1"/>
    <col min="9" max="9" width="8.42578125" bestFit="1" customWidth="1"/>
    <col min="10" max="11" width="7.5703125" bestFit="1" customWidth="1"/>
    <col min="12" max="14" width="12.140625" bestFit="1" customWidth="1"/>
    <col min="15" max="15" width="12.7109375" bestFit="1" customWidth="1"/>
    <col min="17" max="18" width="9.28515625" bestFit="1" customWidth="1"/>
    <col min="19" max="19" width="9.5703125" bestFit="1" customWidth="1"/>
    <col min="20" max="20" width="9.28515625" bestFit="1" customWidth="1"/>
    <col min="22" max="22" width="9.28515625" bestFit="1" customWidth="1"/>
  </cols>
  <sheetData>
    <row r="29" spans="1:27" x14ac:dyDescent="0.25">
      <c r="B29" s="50" t="s">
        <v>232</v>
      </c>
      <c r="C29" s="140" t="s">
        <v>232</v>
      </c>
      <c r="D29" s="137" t="s">
        <v>122</v>
      </c>
      <c r="E29" s="141" t="s">
        <v>121</v>
      </c>
      <c r="F29" s="78" t="s">
        <v>112</v>
      </c>
      <c r="G29" s="78" t="s">
        <v>75</v>
      </c>
      <c r="H29" s="79" t="s">
        <v>113</v>
      </c>
      <c r="I29" s="63"/>
      <c r="J29" s="78" t="s">
        <v>112</v>
      </c>
      <c r="K29" s="78" t="s">
        <v>75</v>
      </c>
      <c r="L29" s="78" t="s">
        <v>73</v>
      </c>
      <c r="M29" s="78" t="s">
        <v>72</v>
      </c>
      <c r="N29" s="78" t="s">
        <v>71</v>
      </c>
      <c r="O29" s="79" t="s">
        <v>70</v>
      </c>
      <c r="Q29" s="160"/>
      <c r="R29" s="53"/>
      <c r="T29" s="34"/>
      <c r="U29" s="34"/>
    </row>
    <row r="30" spans="1:27" x14ac:dyDescent="0.25">
      <c r="B30" s="138" t="s">
        <v>233</v>
      </c>
      <c r="C30" s="32" t="s">
        <v>110</v>
      </c>
      <c r="D30" s="139" t="s">
        <v>109</v>
      </c>
      <c r="E30" s="142" t="s">
        <v>105</v>
      </c>
      <c r="F30" s="80" t="s">
        <v>107</v>
      </c>
      <c r="G30" s="80" t="s">
        <v>106</v>
      </c>
      <c r="H30" s="77" t="s">
        <v>108</v>
      </c>
      <c r="I30" s="61"/>
      <c r="J30" s="80" t="s">
        <v>107</v>
      </c>
      <c r="K30" s="80" t="s">
        <v>106</v>
      </c>
      <c r="L30" s="80"/>
      <c r="M30" s="80"/>
      <c r="N30" s="80"/>
      <c r="O30" s="77"/>
      <c r="Q30" s="66" t="s">
        <v>22</v>
      </c>
      <c r="R30" s="188" t="s">
        <v>100</v>
      </c>
      <c r="T30" s="34"/>
      <c r="V30" s="34" t="s">
        <v>105</v>
      </c>
      <c r="AA30" s="28"/>
    </row>
    <row r="31" spans="1:27" x14ac:dyDescent="0.25">
      <c r="A31" s="28">
        <v>20</v>
      </c>
      <c r="B31" s="143">
        <f>'Cp Calcs'!D18/(Sections!Q31*Sections!R31*2)</f>
        <v>0.67090496979849901</v>
      </c>
      <c r="C31" s="144">
        <f t="shared" ref="C31:C50" si="0">DEGREES(ATAN(G31))</f>
        <v>1.2824749470946111</v>
      </c>
      <c r="D31" s="145">
        <f>IF(B31&lt;=0.72,_xll.Spline(Deadrise!$A$2:$A$25,Deadrise!$B$2:$B$25,Sections!B31,TRUE),V31)</f>
        <v>39.829560511310717</v>
      </c>
      <c r="E31" s="203"/>
      <c r="F31" s="153">
        <f t="shared" ref="F31:F50" si="1">B31</f>
        <v>0.67090496979849901</v>
      </c>
      <c r="G31" s="154">
        <f>IF('Section Calcs'!AU26&lt;0,0,'Section Calcs'!AU26)</f>
        <v>2.2387149307277976E-2</v>
      </c>
      <c r="H31" s="72">
        <f t="shared" ref="H31:H50" si="2">IF(E31="",1/TAN(D31*PI()/180),1/TAN(E31*PI()/180))</f>
        <v>1.1989788987664269</v>
      </c>
      <c r="I31" s="153" t="e">
        <f t="shared" ref="I31:I50" si="3">K31/2+(1-K31)*(1+M31)^2*(1-M31/(2*(1+M31)^2)-M31*LN((1+M31)/M31))</f>
        <v>#DIV/0!</v>
      </c>
      <c r="J31" s="154">
        <f t="shared" ref="J31:J50" si="4">B31</f>
        <v>0.67090496979849901</v>
      </c>
      <c r="K31" s="154">
        <f>G31</f>
        <v>2.2387149307277976E-2</v>
      </c>
      <c r="L31" s="35">
        <f>(1-K31)*(1+M31)^2*M31</f>
        <v>0</v>
      </c>
      <c r="M31" s="157">
        <f>IF(J31&lt;0.72,0,_xll.InterpMatrix('C'!$B$3:$AA$10,J31,C31))</f>
        <v>0</v>
      </c>
      <c r="N31" s="35">
        <f>(1-K31)*(1+M31)^2</f>
        <v>0.97761285069272197</v>
      </c>
      <c r="O31" s="158">
        <f>K31-M31*(1-K31)</f>
        <v>2.2387149307277976E-2</v>
      </c>
      <c r="Q31" s="161">
        <f>'Cxx Selected'!I4</f>
        <v>4.3174562987685938</v>
      </c>
      <c r="R31" s="65">
        <f>'Cp Ref Calcs'!F15</f>
        <v>0.85936286996477074</v>
      </c>
      <c r="T31" s="29">
        <f>IF(E31="",D31,E31)</f>
        <v>39.829560511310717</v>
      </c>
      <c r="V31" s="30">
        <f>IF(B31&lt;0.7,_xll.Spline(Deadrise!$A$2:$A$25,Deadrise!$B$2:$B$25,Sections!B31,TRUE)-C31,90-DEGREES(ATAN('Section Calcs'!D28/'Section Calcs'!$D$26)))</f>
        <v>38.547085564216104</v>
      </c>
      <c r="W31">
        <f>IF(J31&lt;0.7,0,_xll.InterpMatrix('C'!$B$3:$AA$10,J31,C31))</f>
        <v>0</v>
      </c>
    </row>
    <row r="32" spans="1:27" x14ac:dyDescent="0.25">
      <c r="A32" s="28">
        <v>19</v>
      </c>
      <c r="B32" s="146">
        <f>'Cp Calcs'!D19/(Sections!Q32*Sections!R32*2)</f>
        <v>0.66080599824936337</v>
      </c>
      <c r="C32" s="147">
        <f t="shared" si="0"/>
        <v>4.1395034771483425</v>
      </c>
      <c r="D32" s="148">
        <f>IF(B32&lt;=0.72,_xll.Spline(Deadrise!$A$2:$A$25,Deadrise!$B$2:$B$25,Sections!B32,TRUE),V32)</f>
        <v>45.462668481033795</v>
      </c>
      <c r="E32" s="203"/>
      <c r="F32" s="155">
        <f t="shared" si="1"/>
        <v>0.66080599824936337</v>
      </c>
      <c r="G32" s="156">
        <f>IF('Section Calcs'!AU32&lt;0,0,'Section Calcs'!AU32)</f>
        <v>7.2373933974996349E-2</v>
      </c>
      <c r="H32" s="74">
        <f t="shared" si="2"/>
        <v>0.98397884731254204</v>
      </c>
      <c r="I32" s="155" t="e">
        <f t="shared" si="3"/>
        <v>#DIV/0!</v>
      </c>
      <c r="J32" s="156">
        <f t="shared" si="4"/>
        <v>0.66080599824936337</v>
      </c>
      <c r="K32" s="156">
        <f>G32</f>
        <v>7.2373933974996349E-2</v>
      </c>
      <c r="L32" s="34">
        <f>(1-K32)*(1+M32)^2*M32</f>
        <v>0</v>
      </c>
      <c r="M32" s="81">
        <f>IF(J32&lt;0.72,0,_xll.InterpMatrix('C'!$B$3:$AA$10,J32,C32))</f>
        <v>0</v>
      </c>
      <c r="N32" s="34">
        <f>(1-K32)*(1+M32)^2</f>
        <v>0.92762606602500364</v>
      </c>
      <c r="O32" s="159">
        <f>K32-M32*(1-K32)</f>
        <v>7.2373933974996349E-2</v>
      </c>
      <c r="Q32" s="162">
        <f>'Cxx Selected'!I5</f>
        <v>4.7512875356572248</v>
      </c>
      <c r="R32" s="68">
        <f>'Cp Ref Calcs'!F16</f>
        <v>1.6013468555422452</v>
      </c>
      <c r="T32" s="29">
        <f t="shared" ref="T32:T51" si="5">IF(E32="",D32,E32)</f>
        <v>45.462668481033795</v>
      </c>
      <c r="V32" s="30">
        <f>IF(B32&lt;0.7,_xll.Spline(Deadrise!$A$2:$A$25,Deadrise!$B$2:$B$25,Sections!B32,TRUE)-C32,90-DEGREES(ATAN('Section Calcs'!D34/'Section Calcs'!$D$26)))</f>
        <v>41.32316500388545</v>
      </c>
      <c r="W32" t="e">
        <f>IF(I32&lt;0.7,0,_xll.InterpMatrix('C'!$B$3:$AA$10,I32,C32))</f>
        <v>#DIV/0!</v>
      </c>
    </row>
    <row r="33" spans="1:23" x14ac:dyDescent="0.25">
      <c r="A33" s="28">
        <v>18</v>
      </c>
      <c r="B33" s="146">
        <f>'Cp Calcs'!D20/(Sections!Q33*Sections!R33*2)</f>
        <v>0.67703487754742775</v>
      </c>
      <c r="C33" s="147">
        <f t="shared" si="0"/>
        <v>5.2719322788055427</v>
      </c>
      <c r="D33" s="148">
        <f>IF(B33&lt;=0.72,_xll.Spline(Deadrise!$A$2:$A$25,Deadrise!$B$2:$B$25,Sections!B33,TRUE),V33)</f>
        <v>36.858886281317503</v>
      </c>
      <c r="E33" s="203"/>
      <c r="F33" s="155">
        <f t="shared" si="1"/>
        <v>0.67703487754742775</v>
      </c>
      <c r="G33" s="156">
        <f>IF('Section Calcs'!AU38&lt;0,0,'Section Calcs'!AU38)</f>
        <v>9.2273127733580512E-2</v>
      </c>
      <c r="H33" s="74">
        <f t="shared" si="2"/>
        <v>1.3338673161879395</v>
      </c>
      <c r="I33" s="155" t="e">
        <f t="shared" si="3"/>
        <v>#DIV/0!</v>
      </c>
      <c r="J33" s="156">
        <f t="shared" si="4"/>
        <v>0.67703487754742775</v>
      </c>
      <c r="K33" s="156">
        <f t="shared" ref="K33:K50" si="6">G33</f>
        <v>9.2273127733580512E-2</v>
      </c>
      <c r="L33" s="34">
        <f>(1-K33)*(1+M33)^2*M33</f>
        <v>0</v>
      </c>
      <c r="M33" s="81">
        <f>IF(J33&lt;0.72,0,_xll.InterpMatrix('C'!$B$3:$AA$10,J33,C33))</f>
        <v>0</v>
      </c>
      <c r="N33" s="34">
        <f>(1-K33)*(1+M33)^2</f>
        <v>0.90772687226641946</v>
      </c>
      <c r="O33" s="159">
        <f>K33-M33*(1-K33)</f>
        <v>9.2273127733580512E-2</v>
      </c>
      <c r="Q33" s="162">
        <f>'Cxx Selected'!I6</f>
        <v>5.1669140051513978</v>
      </c>
      <c r="R33" s="68">
        <f>'Cp Ref Calcs'!F17</f>
        <v>2.3293987629239994</v>
      </c>
      <c r="T33" s="29">
        <f t="shared" si="5"/>
        <v>36.858886281317503</v>
      </c>
      <c r="V33" s="30">
        <f>IF(B33&lt;0.7,_xll.Spline(Deadrise!$A$2:$A$25,Deadrise!$B$2:$B$25,Sections!B33,TRUE)-C33,90-DEGREES(ATAN('Section Calcs'!D40/'Section Calcs'!$D$26)))</f>
        <v>31.586954002511959</v>
      </c>
      <c r="W33" t="e">
        <f>IF(I33&lt;0.7,0,_xll.InterpMatrix('C'!$B$3:$AA$10,I33,C33))</f>
        <v>#DIV/0!</v>
      </c>
    </row>
    <row r="34" spans="1:23" x14ac:dyDescent="0.25">
      <c r="A34" s="28">
        <v>17</v>
      </c>
      <c r="B34" s="146">
        <f>'Cp Calcs'!D21/(Sections!Q34*Sections!R34*2)</f>
        <v>0.68750940300717223</v>
      </c>
      <c r="C34" s="147">
        <f t="shared" si="0"/>
        <v>3.9982682321119314</v>
      </c>
      <c r="D34" s="148">
        <f>IF(B34&lt;=0.72,_xll.Spline(Deadrise!$A$2:$A$25,Deadrise!$B$2:$B$25,Sections!B34,TRUE),V34)</f>
        <v>32.601751124332495</v>
      </c>
      <c r="E34" s="203"/>
      <c r="F34" s="155">
        <f t="shared" si="1"/>
        <v>0.68750940300717223</v>
      </c>
      <c r="G34" s="156">
        <f>IF('Section Calcs'!AU44&lt;0,0,'Section Calcs'!AU44)</f>
        <v>6.9896439162949589E-2</v>
      </c>
      <c r="H34" s="74">
        <f t="shared" si="2"/>
        <v>1.563551135465677</v>
      </c>
      <c r="I34" s="155" t="e">
        <f t="shared" si="3"/>
        <v>#DIV/0!</v>
      </c>
      <c r="J34" s="156">
        <f t="shared" si="4"/>
        <v>0.68750940300717223</v>
      </c>
      <c r="K34" s="156">
        <f t="shared" si="6"/>
        <v>6.9896439162949589E-2</v>
      </c>
      <c r="L34" s="34">
        <f t="shared" ref="L34:L50" si="7">(1-K34)*(1+M34)^2*M34</f>
        <v>0</v>
      </c>
      <c r="M34" s="81">
        <f>IF(J34&lt;0.72,0,_xll.InterpMatrix('C'!$B$3:$AA$10,J34,C34))</f>
        <v>0</v>
      </c>
      <c r="N34" s="34">
        <f t="shared" ref="N34:N50" si="8">(1-K34)*(1+M34)^2</f>
        <v>0.93010356083705037</v>
      </c>
      <c r="O34" s="159">
        <f t="shared" ref="O34:O50" si="9">K34-M34*(1-K34)</f>
        <v>6.9896439162949589E-2</v>
      </c>
      <c r="Q34" s="162">
        <f>'Cxx Selected'!I7</f>
        <v>5.5718841827978496</v>
      </c>
      <c r="R34" s="68">
        <f>'Cp Ref Calcs'!F18</f>
        <v>3.0290664229530679</v>
      </c>
      <c r="T34" s="29">
        <f t="shared" si="5"/>
        <v>32.601751124332495</v>
      </c>
      <c r="V34" s="30">
        <f>IF(B34&lt;0.7,_xll.Spline(Deadrise!$A$2:$A$25,Deadrise!$B$2:$B$25,Sections!B34,TRUE)-C34,90-DEGREES(ATAN('Section Calcs'!D46/'Section Calcs'!$D$26)))</f>
        <v>28.603482892220562</v>
      </c>
      <c r="W34" t="e">
        <f>IF(I34&lt;0.7,0,_xll.InterpMatrix('C'!$B$3:$AA$10,I34,C34))</f>
        <v>#DIV/0!</v>
      </c>
    </row>
    <row r="35" spans="1:23" x14ac:dyDescent="0.25">
      <c r="A35" s="28">
        <v>16</v>
      </c>
      <c r="B35" s="146">
        <f>'Cp Calcs'!D22/(Sections!Q35*Sections!R35*2)</f>
        <v>0.69388683474039825</v>
      </c>
      <c r="C35" s="147">
        <f t="shared" si="0"/>
        <v>0.94370153142118629</v>
      </c>
      <c r="D35" s="148">
        <f>IF(B35&lt;=0.72,_xll.Spline(Deadrise!$A$2:$A$25,Deadrise!$B$2:$B$25,Sections!B35,TRUE),V35)</f>
        <v>30.451384350955646</v>
      </c>
      <c r="E35" s="203"/>
      <c r="F35" s="155">
        <f t="shared" si="1"/>
        <v>0.69388683474039825</v>
      </c>
      <c r="G35" s="156">
        <f>IF('Section Calcs'!AU50&lt;0,0,'Section Calcs'!AU50)</f>
        <v>1.6472188452979278E-2</v>
      </c>
      <c r="H35" s="74">
        <f t="shared" si="2"/>
        <v>1.7009618119648431</v>
      </c>
      <c r="I35" s="155" t="e">
        <f t="shared" si="3"/>
        <v>#DIV/0!</v>
      </c>
      <c r="J35" s="156">
        <f t="shared" si="4"/>
        <v>0.69388683474039825</v>
      </c>
      <c r="K35" s="156">
        <f t="shared" si="6"/>
        <v>1.6472188452979278E-2</v>
      </c>
      <c r="L35" s="34">
        <f t="shared" si="7"/>
        <v>0</v>
      </c>
      <c r="M35" s="81">
        <f>IF(J35&lt;0.72,0,_xll.InterpMatrix('C'!$B$3:$AA$10,J35,C35))</f>
        <v>0</v>
      </c>
      <c r="N35" s="34">
        <f t="shared" si="8"/>
        <v>0.98352781154702074</v>
      </c>
      <c r="O35" s="159">
        <f t="shared" si="9"/>
        <v>1.6472188452979278E-2</v>
      </c>
      <c r="Q35" s="162">
        <f>'Cxx Selected'!I8</f>
        <v>5.9613346378560355</v>
      </c>
      <c r="R35" s="68">
        <f>'Cp Ref Calcs'!F19</f>
        <v>3.6644099812839293</v>
      </c>
      <c r="T35" s="29">
        <f t="shared" si="5"/>
        <v>30.451384350955646</v>
      </c>
      <c r="V35" s="30">
        <f>IF(B35&lt;0.7,_xll.Spline(Deadrise!$A$2:$A$25,Deadrise!$B$2:$B$25,Sections!B35,TRUE)-C35,90-DEGREES(ATAN('Section Calcs'!D52/'Section Calcs'!$D$26)))</f>
        <v>29.507682819534459</v>
      </c>
      <c r="W35" t="e">
        <f>IF(I35&lt;0.7,0,_xll.InterpMatrix('C'!$B$3:$AA$10,I35,C35))</f>
        <v>#DIV/0!</v>
      </c>
    </row>
    <row r="36" spans="1:23" x14ac:dyDescent="0.25">
      <c r="A36" s="28">
        <v>15</v>
      </c>
      <c r="B36" s="146">
        <f>'Cp Calcs'!D23/(Sections!Q36*Sections!R36*2)</f>
        <v>0.70643271750229963</v>
      </c>
      <c r="C36" s="147">
        <f t="shared" si="0"/>
        <v>0</v>
      </c>
      <c r="D36" s="148">
        <f>IF(B36&lt;=0.72,_xll.Spline(Deadrise!$A$2:$A$25,Deadrise!$B$2:$B$25,Sections!B36,TRUE),V36)</f>
        <v>26.910017201086891</v>
      </c>
      <c r="E36" s="203"/>
      <c r="F36" s="155">
        <f t="shared" si="1"/>
        <v>0.70643271750229963</v>
      </c>
      <c r="G36" s="156">
        <f>IF('Section Calcs'!AU56&lt;0,0,'Section Calcs'!AU56)</f>
        <v>0</v>
      </c>
      <c r="H36" s="74">
        <f t="shared" si="2"/>
        <v>1.970253866554537</v>
      </c>
      <c r="I36" s="155" t="e">
        <f t="shared" si="3"/>
        <v>#DIV/0!</v>
      </c>
      <c r="J36" s="156">
        <f t="shared" si="4"/>
        <v>0.70643271750229963</v>
      </c>
      <c r="K36" s="156">
        <f t="shared" si="6"/>
        <v>0</v>
      </c>
      <c r="L36" s="34">
        <f t="shared" si="7"/>
        <v>0</v>
      </c>
      <c r="M36" s="81">
        <f>IF(J36&lt;0.72,0,_xll.InterpMatrix('C'!$B$3:$AA$10,J36,C36))</f>
        <v>0</v>
      </c>
      <c r="N36" s="34">
        <f t="shared" si="8"/>
        <v>1</v>
      </c>
      <c r="O36" s="159">
        <f t="shared" si="9"/>
        <v>0</v>
      </c>
      <c r="Q36" s="162">
        <f>'Cxx Selected'!I9</f>
        <v>6.3220120830335524</v>
      </c>
      <c r="R36" s="68">
        <f>'Cp Ref Calcs'!F20</f>
        <v>4.1634791059956644</v>
      </c>
      <c r="T36" s="29">
        <f t="shared" si="5"/>
        <v>26.910017201086891</v>
      </c>
      <c r="V36" s="30">
        <f>IF(B36&lt;0.7,_xll.Spline(Deadrise!$A$2:$A$25,Deadrise!$B$2:$B$25,Sections!B36,TRUE),90-DEGREES(ATAN('Section Calcs'!D58/'Section Calcs'!$D$26)))</f>
        <v>0.57293869768348316</v>
      </c>
      <c r="W36" t="e">
        <f>IF(I36&lt;0.7,0,_xll.InterpMatrix('C'!$B$3:$AA$10,I36,C36))</f>
        <v>#DIV/0!</v>
      </c>
    </row>
    <row r="37" spans="1:23" x14ac:dyDescent="0.25">
      <c r="A37" s="28">
        <v>14</v>
      </c>
      <c r="B37" s="146">
        <f>'Cp Calcs'!D24/(Sections!Q37*Sections!R37*2)</f>
        <v>0.7229862657273981</v>
      </c>
      <c r="C37" s="147">
        <f t="shared" si="0"/>
        <v>0</v>
      </c>
      <c r="D37" s="148">
        <f>IF(B37&lt;=0.72,_xll.Spline(Deadrise!$A$2:$A$25,Deadrise!$B$2:$B$25,Sections!B37,TRUE),V37)</f>
        <v>19.215311704494169</v>
      </c>
      <c r="E37" s="203"/>
      <c r="F37" s="155">
        <f t="shared" si="1"/>
        <v>0.7229862657273981</v>
      </c>
      <c r="G37" s="156">
        <f>IF('Section Calcs'!AU62&lt;0,0,'Section Calcs'!AU62)</f>
        <v>0</v>
      </c>
      <c r="H37" s="74">
        <f t="shared" si="2"/>
        <v>2.8691398009837785</v>
      </c>
      <c r="I37" s="155">
        <f t="shared" si="3"/>
        <v>0.72302330304868079</v>
      </c>
      <c r="J37" s="156">
        <f t="shared" si="4"/>
        <v>0.7229862657273981</v>
      </c>
      <c r="K37" s="156">
        <f t="shared" si="6"/>
        <v>0</v>
      </c>
      <c r="L37" s="34">
        <f t="shared" si="7"/>
        <v>4.8948272406168964</v>
      </c>
      <c r="M37" s="81">
        <f>IF(J37&lt;0.72,0,_xll.InterpMatrix('C'!$B$3:$AA$10,J37,C37))</f>
        <v>1.1048397546138657</v>
      </c>
      <c r="N37" s="34">
        <f t="shared" si="8"/>
        <v>4.4303503926029588</v>
      </c>
      <c r="O37" s="159">
        <f t="shared" si="9"/>
        <v>-1.1048397546138657</v>
      </c>
      <c r="Q37" s="162">
        <f>'Cxx Selected'!I10</f>
        <v>6.6357700730737044</v>
      </c>
      <c r="R37" s="68">
        <f>'Cp Ref Calcs'!F21</f>
        <v>4.5266512129639898</v>
      </c>
      <c r="T37" s="29">
        <f t="shared" si="5"/>
        <v>19.215311704494169</v>
      </c>
      <c r="V37" s="30">
        <f>IF(B37&lt;0.7,_xll.Spline(Deadrise!$A$2:$A$25,Deadrise!$B$2:$B$25,Sections!B37,TRUE),90-DEGREES(ATAN('Section Calcs'!D64/'Section Calcs'!$D$26)))</f>
        <v>19.215311704494169</v>
      </c>
      <c r="W37">
        <f>IF(I37&lt;0.7,0,_xll.InterpMatrix('C'!$B$3:$AA$10,I37,C37))</f>
        <v>1.1038876334640582</v>
      </c>
    </row>
    <row r="38" spans="1:23" x14ac:dyDescent="0.25">
      <c r="A38" s="28">
        <v>13</v>
      </c>
      <c r="B38" s="146">
        <f>'Cp Calcs'!D25/(Sections!Q38*Sections!R38*2)</f>
        <v>0.74472413107950608</v>
      </c>
      <c r="C38" s="147">
        <f t="shared" si="0"/>
        <v>0</v>
      </c>
      <c r="D38" s="148">
        <f>IF(B38&lt;=0.72,_xll.Spline(Deadrise!$A$2:$A$25,Deadrise!$B$2:$B$25,Sections!B38,TRUE),V38)</f>
        <v>16.559295960007802</v>
      </c>
      <c r="E38" s="203"/>
      <c r="F38" s="155">
        <f t="shared" si="1"/>
        <v>0.74472413107950608</v>
      </c>
      <c r="G38" s="156">
        <f>IF('Section Calcs'!AU68&lt;0,0,'Section Calcs'!AU68)</f>
        <v>0</v>
      </c>
      <c r="H38" s="74">
        <f t="shared" si="2"/>
        <v>3.3631583168164183</v>
      </c>
      <c r="I38" s="155">
        <f t="shared" si="3"/>
        <v>0.74470092274963684</v>
      </c>
      <c r="J38" s="156">
        <f t="shared" si="4"/>
        <v>0.74472413107950608</v>
      </c>
      <c r="K38" s="156">
        <f t="shared" si="6"/>
        <v>0</v>
      </c>
      <c r="L38" s="34">
        <f t="shared" si="7"/>
        <v>2.0428520618400214</v>
      </c>
      <c r="M38" s="81">
        <f>IF(J38&lt;0.72,0,_xll.InterpMatrix('C'!$B$3:$AA$10,J38,C38))</f>
        <v>0.70375600904658542</v>
      </c>
      <c r="N38" s="34">
        <f t="shared" si="8"/>
        <v>2.902784538362349</v>
      </c>
      <c r="O38" s="159">
        <f t="shared" si="9"/>
        <v>-0.70375600904658542</v>
      </c>
      <c r="Q38" s="162">
        <f>'Cxx Selected'!I11</f>
        <v>6.8825403521952069</v>
      </c>
      <c r="R38" s="68">
        <f>'Cp Ref Calcs'!F22</f>
        <v>4.7512355825899748</v>
      </c>
      <c r="T38" s="29">
        <f t="shared" si="5"/>
        <v>16.559295960007802</v>
      </c>
      <c r="V38" s="30">
        <f>IF(B38&lt;0.7,_xll.Spline(Deadrise!$A$2:$A$25,Deadrise!$B$2:$B$25,Sections!B38,TRUE),90-DEGREES(ATAN('Section Calcs'!D70/'Section Calcs'!$D$26)))</f>
        <v>16.559295960007802</v>
      </c>
      <c r="W38">
        <f>IF(I38&lt;0.7,0,_xll.InterpMatrix('C'!$B$3:$AA$10,I38,C38))</f>
        <v>0.70406025838444775</v>
      </c>
    </row>
    <row r="39" spans="1:23" x14ac:dyDescent="0.25">
      <c r="A39" s="28">
        <v>12</v>
      </c>
      <c r="B39" s="146">
        <f>'Cp Calcs'!D26/(Sections!Q39*Sections!R39*2)</f>
        <v>0.77319010532339305</v>
      </c>
      <c r="C39" s="147">
        <f t="shared" si="0"/>
        <v>0</v>
      </c>
      <c r="D39" s="148">
        <f>IF(B39&lt;=0.72,_xll.Spline(Deadrise!$A$2:$A$25,Deadrise!$B$2:$B$25,Sections!B39,TRUE),V39)</f>
        <v>13.35150633328324</v>
      </c>
      <c r="E39" s="203"/>
      <c r="F39" s="155">
        <f t="shared" si="1"/>
        <v>0.77319010532339305</v>
      </c>
      <c r="G39" s="156">
        <f>IF('Section Calcs'!AU74&lt;0,0,'Section Calcs'!AU74)</f>
        <v>0</v>
      </c>
      <c r="H39" s="74">
        <f t="shared" si="2"/>
        <v>4.2133759076865118</v>
      </c>
      <c r="I39" s="155">
        <f t="shared" si="3"/>
        <v>0.77316734422958855</v>
      </c>
      <c r="J39" s="156">
        <f t="shared" si="4"/>
        <v>0.77319010532339305</v>
      </c>
      <c r="K39" s="156">
        <f t="shared" si="6"/>
        <v>0</v>
      </c>
      <c r="L39" s="34">
        <f t="shared" si="7"/>
        <v>0.88198182716536577</v>
      </c>
      <c r="M39" s="81">
        <f>IF(J39&lt;0.72,0,_xll.InterpMatrix('C'!$B$3:$AA$10,J39,C39))</f>
        <v>0.43081614656867973</v>
      </c>
      <c r="N39" s="34">
        <f t="shared" si="8"/>
        <v>2.0472348452816456</v>
      </c>
      <c r="O39" s="159">
        <f t="shared" si="9"/>
        <v>-0.43081614656867973</v>
      </c>
      <c r="Q39" s="162">
        <f>'Cxx Selected'!I12</f>
        <v>7.0427788503840265</v>
      </c>
      <c r="R39" s="68">
        <f>'Cp Ref Calcs'!F23</f>
        <v>4.840261546851278</v>
      </c>
      <c r="T39" s="29">
        <f t="shared" si="5"/>
        <v>13.35150633328324</v>
      </c>
      <c r="V39" s="30">
        <f>90-DEGREES(ATAN('Section Calcs'!D76/'Section Calcs'!$D$26))</f>
        <v>13.35150633328324</v>
      </c>
      <c r="W39">
        <f>IF(I39&lt;0.7,0,_xll.InterpMatrix('C'!$B$3:$AA$10,I39,C39))</f>
        <v>0.43097213823397895</v>
      </c>
    </row>
    <row r="40" spans="1:23" x14ac:dyDescent="0.25">
      <c r="A40" s="28">
        <v>11</v>
      </c>
      <c r="B40" s="146">
        <f>'Cp Calcs'!D27/(Sections!Q40*Sections!R40*2)</f>
        <v>0.80178109062488845</v>
      </c>
      <c r="C40" s="147">
        <f t="shared" si="0"/>
        <v>0</v>
      </c>
      <c r="D40" s="148">
        <f>IF(B40&lt;=0.72,_xll.Spline(Deadrise!$A$2:$A$25,Deadrise!$B$2:$B$25,Sections!B40,TRUE),V40)</f>
        <v>10.493884578402586</v>
      </c>
      <c r="E40" s="203"/>
      <c r="F40" s="155">
        <f t="shared" si="1"/>
        <v>0.80178109062488845</v>
      </c>
      <c r="G40" s="156">
        <f>IF('Section Calcs'!AU80&lt;0,0,'Section Calcs'!AU80)</f>
        <v>0</v>
      </c>
      <c r="H40" s="74">
        <f t="shared" si="2"/>
        <v>5.39873296565945</v>
      </c>
      <c r="I40" s="155">
        <f t="shared" si="3"/>
        <v>0.80177224563634353</v>
      </c>
      <c r="J40" s="156">
        <f t="shared" si="4"/>
        <v>0.80178109062488845</v>
      </c>
      <c r="K40" s="156">
        <f t="shared" si="6"/>
        <v>0</v>
      </c>
      <c r="L40" s="34">
        <f t="shared" si="7"/>
        <v>0.45294304598941471</v>
      </c>
      <c r="M40" s="81">
        <f>IF(J40&lt;0.72,0,_xll.InterpMatrix('C'!$B$3:$AA$10,J40,C40))</f>
        <v>0.27752618931251249</v>
      </c>
      <c r="N40" s="34">
        <f t="shared" si="8"/>
        <v>1.6320731643793496</v>
      </c>
      <c r="O40" s="159">
        <f t="shared" si="9"/>
        <v>-0.27752618931251249</v>
      </c>
      <c r="Q40" s="162">
        <f>'Cxx Selected'!I13</f>
        <v>7.0993863285373875</v>
      </c>
      <c r="R40" s="68">
        <f>'Cp Ref Calcs'!F24</f>
        <v>4.8514589937413639</v>
      </c>
      <c r="T40" s="29">
        <f t="shared" si="5"/>
        <v>10.493884578402586</v>
      </c>
      <c r="V40" s="30">
        <f>90-DEGREES(ATAN('Section Calcs'!D82/'Section Calcs'!$D$26))</f>
        <v>10.493884578402586</v>
      </c>
      <c r="W40">
        <f>IF(I40&lt;0.7,0,_xll.InterpMatrix('C'!$B$3:$AA$10,I40,C40))</f>
        <v>0.27756279357969427</v>
      </c>
    </row>
    <row r="41" spans="1:23" x14ac:dyDescent="0.25">
      <c r="A41" s="28">
        <v>10</v>
      </c>
      <c r="B41" s="146">
        <f>'Cp Calcs'!D28/(Sections!Q41*Sections!R41*2)</f>
        <v>0.8212736388504005</v>
      </c>
      <c r="C41" s="147">
        <f t="shared" si="0"/>
        <v>1.5866545434905122</v>
      </c>
      <c r="D41" s="148">
        <f>IF(B41&lt;=0.72,_xll.Spline(Deadrise!$A$2:$A$25,Deadrise!$B$2:$B$25,Sections!B41,TRUE),V41)</f>
        <v>8.2209098305567778</v>
      </c>
      <c r="E41" s="203"/>
      <c r="F41" s="155">
        <f t="shared" si="1"/>
        <v>0.8212736388504005</v>
      </c>
      <c r="G41" s="156">
        <f>IF('Section Calcs'!AU86&lt;0,0,'Section Calcs'!AU86)</f>
        <v>2.7699426820722326E-2</v>
      </c>
      <c r="H41" s="74">
        <f t="shared" si="2"/>
        <v>6.9216249722280505</v>
      </c>
      <c r="I41" s="155">
        <f t="shared" si="3"/>
        <v>0.82117261919937101</v>
      </c>
      <c r="J41" s="156">
        <f t="shared" si="4"/>
        <v>0.8212736388504005</v>
      </c>
      <c r="K41" s="156">
        <f t="shared" si="6"/>
        <v>2.7699426820722326E-2</v>
      </c>
      <c r="L41" s="34">
        <f t="shared" si="7"/>
        <v>0.24752521127193564</v>
      </c>
      <c r="M41" s="81">
        <f>IF(J41&lt;0.72,0,_xll.InterpMatrix('C'!$B$3:$AA$10,J41,C41))</f>
        <v>0.18216428357880882</v>
      </c>
      <c r="N41" s="34">
        <f t="shared" si="8"/>
        <v>1.3588021010982103</v>
      </c>
      <c r="O41" s="159">
        <f t="shared" si="9"/>
        <v>-0.14941901051574596</v>
      </c>
      <c r="Q41" s="162">
        <f>'Cxx Selected'!I14</f>
        <v>7.0391036724598841</v>
      </c>
      <c r="R41" s="68">
        <f>'Cp Ref Calcs'!F25</f>
        <v>4.8514589937413639</v>
      </c>
      <c r="T41" s="29">
        <f t="shared" si="5"/>
        <v>8.2209098305567778</v>
      </c>
      <c r="V41" s="30">
        <f>90-DEGREES(ATAN('Section Calcs'!D88/'Section Calcs'!$D$26))</f>
        <v>8.2209098305567778</v>
      </c>
      <c r="W41">
        <f>IF(I41&lt;0.7,0,_xll.InterpMatrix('C'!$B$3:$AA$10,I41,C41))</f>
        <v>0.18244452163657029</v>
      </c>
    </row>
    <row r="42" spans="1:23" x14ac:dyDescent="0.25">
      <c r="A42" s="28">
        <v>9</v>
      </c>
      <c r="B42" s="146">
        <f>'Cp Calcs'!D29/(Sections!Q42*Sections!R42*2)</f>
        <v>0.83032235774506102</v>
      </c>
      <c r="C42" s="147">
        <f t="shared" si="0"/>
        <v>6.7412857962523534</v>
      </c>
      <c r="D42" s="148">
        <f>IF(B42&lt;=0.72,_xll.Spline(Deadrise!$A$2:$A$25,Deadrise!$B$2:$B$25,Sections!B42,TRUE),V42)</f>
        <v>5.5467527921985322</v>
      </c>
      <c r="E42" s="203"/>
      <c r="F42" s="155">
        <f t="shared" si="1"/>
        <v>0.83032235774506102</v>
      </c>
      <c r="G42" s="156">
        <f>IF('Section Calcs'!AU92&lt;0,0,'Section Calcs'!AU92)</f>
        <v>0.11820358028373786</v>
      </c>
      <c r="H42" s="74">
        <f t="shared" si="2"/>
        <v>10.297317668905201</v>
      </c>
      <c r="I42" s="155">
        <f t="shared" si="3"/>
        <v>0.83037155975569021</v>
      </c>
      <c r="J42" s="156">
        <f t="shared" si="4"/>
        <v>0.83032235774506102</v>
      </c>
      <c r="K42" s="156">
        <f t="shared" si="6"/>
        <v>0.11820358028373786</v>
      </c>
      <c r="L42" s="34">
        <f t="shared" si="7"/>
        <v>9.74639627233264E-2</v>
      </c>
      <c r="M42" s="81">
        <f>IF(J42&lt;0.72,0,_xll.InterpMatrix('C'!$B$3:$AA$10,J42,C42))</f>
        <v>9.2589490887384635E-2</v>
      </c>
      <c r="N42" s="34">
        <f t="shared" si="8"/>
        <v>1.0526460593877822</v>
      </c>
      <c r="O42" s="159">
        <f t="shared" si="9"/>
        <v>3.6558498715890606E-2</v>
      </c>
      <c r="Q42" s="162">
        <f>'Cxx Selected'!I15</f>
        <v>6.8533818357117688</v>
      </c>
      <c r="R42" s="68">
        <f>'Cp Ref Calcs'!F26</f>
        <v>4.8514589937413639</v>
      </c>
      <c r="T42" s="29">
        <f t="shared" si="5"/>
        <v>5.5467527921985322</v>
      </c>
      <c r="V42" s="30">
        <f>90-DEGREES(ATAN('Section Calcs'!D94/'Section Calcs'!$D$26))</f>
        <v>5.5467527921985322</v>
      </c>
      <c r="W42">
        <f>IF(I42&lt;0.7,0,_xll.InterpMatrix('C'!$B$3:$AA$10,I42,C42))</f>
        <v>9.2505561907412617E-2</v>
      </c>
    </row>
    <row r="43" spans="1:23" x14ac:dyDescent="0.25">
      <c r="A43" s="28">
        <v>8</v>
      </c>
      <c r="B43" s="146">
        <f>'Cp Calcs'!D30/(Sections!Q43*Sections!R43*2)</f>
        <v>0.82890924862173876</v>
      </c>
      <c r="C43" s="147">
        <f t="shared" si="0"/>
        <v>12.18096917290892</v>
      </c>
      <c r="D43" s="148">
        <f>IF(B43&lt;=0.72,_xll.Spline(Deadrise!$A$2:$A$25,Deadrise!$B$2:$B$25,Sections!B43,TRUE),V43)</f>
        <v>3.3683261971741558</v>
      </c>
      <c r="E43" s="203"/>
      <c r="F43" s="155">
        <f t="shared" si="1"/>
        <v>0.82890924862173876</v>
      </c>
      <c r="G43" s="156">
        <f>IF('Section Calcs'!AU97&lt;0,0,'Section Calcs'!AU97)</f>
        <v>0.21586000067861974</v>
      </c>
      <c r="H43" s="74">
        <f t="shared" si="2"/>
        <v>16.990562908785897</v>
      </c>
      <c r="I43" s="155">
        <f t="shared" si="3"/>
        <v>0.82937003186607838</v>
      </c>
      <c r="J43" s="156">
        <f t="shared" si="4"/>
        <v>0.82890924862173876</v>
      </c>
      <c r="K43" s="156">
        <f t="shared" si="6"/>
        <v>0.21586000067861974</v>
      </c>
      <c r="L43" s="34">
        <f t="shared" si="7"/>
        <v>3.4395078784918945E-2</v>
      </c>
      <c r="M43" s="81">
        <f>IF(J43&lt;0.72,0,_xll.InterpMatrix('C'!$B$3:$AA$10,J43,C43))</f>
        <v>4.0514148939632566E-2</v>
      </c>
      <c r="N43" s="34">
        <f t="shared" si="8"/>
        <v>0.84896461323101624</v>
      </c>
      <c r="O43" s="159">
        <f t="shared" si="9"/>
        <v>0.18409123595658997</v>
      </c>
      <c r="Q43" s="162">
        <f>'Cxx Selected'!I16</f>
        <v>6.538726431309354</v>
      </c>
      <c r="R43" s="68">
        <f>'Cp Ref Calcs'!F27</f>
        <v>4.8514589937413639</v>
      </c>
      <c r="T43" s="29">
        <f t="shared" si="5"/>
        <v>3.3683261971741558</v>
      </c>
      <c r="V43" s="30">
        <f>90-DEGREES(ATAN('Section Calcs'!D99/'Section Calcs'!$D$26))</f>
        <v>3.3683261971741558</v>
      </c>
      <c r="W43">
        <f>IF(I43&lt;0.7,0,_xll.InterpMatrix('C'!$B$3:$AA$10,I43,C43))</f>
        <v>4.000660854077856E-2</v>
      </c>
    </row>
    <row r="44" spans="1:23" x14ac:dyDescent="0.25">
      <c r="A44" s="28">
        <v>7</v>
      </c>
      <c r="B44" s="146">
        <f>'Cp Calcs'!D31/(Sections!Q44*Sections!R44*2)</f>
        <v>0.81652308200155044</v>
      </c>
      <c r="C44" s="147">
        <f t="shared" si="0"/>
        <v>17.126677105651122</v>
      </c>
      <c r="D44" s="148">
        <f>IF(B44&lt;=0.72,_xll.Spline(Deadrise!$A$2:$A$25,Deadrise!$B$2:$B$25,Sections!B44,TRUE),V44)</f>
        <v>2.1324176288467243</v>
      </c>
      <c r="E44" s="203"/>
      <c r="F44" s="155">
        <f t="shared" si="1"/>
        <v>0.81652308200155044</v>
      </c>
      <c r="G44" s="156">
        <f>IF('Section Calcs'!AU102&lt;0,0,'Section Calcs'!AU102)</f>
        <v>0.30814991189075958</v>
      </c>
      <c r="H44" s="74">
        <f t="shared" si="2"/>
        <v>26.85652272289903</v>
      </c>
      <c r="I44" s="155">
        <f t="shared" si="3"/>
        <v>0.81407408659295988</v>
      </c>
      <c r="J44" s="156">
        <f t="shared" si="4"/>
        <v>0.81652308200155044</v>
      </c>
      <c r="K44" s="156">
        <f t="shared" si="6"/>
        <v>0.30814991189075958</v>
      </c>
      <c r="L44" s="34">
        <f t="shared" si="7"/>
        <v>1.2119188851882561E-2</v>
      </c>
      <c r="M44" s="81">
        <f>IF(J44&lt;0.72,0,_xll.InterpMatrix('C'!$B$3:$AA$10,J44,C44))</f>
        <v>1.6938395260796633E-2</v>
      </c>
      <c r="N44" s="34">
        <f t="shared" si="8"/>
        <v>0.71548624679529294</v>
      </c>
      <c r="O44" s="159">
        <f t="shared" si="9"/>
        <v>0.29643108163714826</v>
      </c>
      <c r="Q44" s="162">
        <f>'Cxx Selected'!I17</f>
        <v>6.0965169722775912</v>
      </c>
      <c r="R44" s="68">
        <f>'Cp Ref Calcs'!F28</f>
        <v>4.8514589937413639</v>
      </c>
      <c r="T44" s="29">
        <f t="shared" si="5"/>
        <v>2.1324176288467243</v>
      </c>
      <c r="V44" s="30">
        <f>90-DEGREES(ATAN('Section Calcs'!D104/'Section Calcs'!$D$26))</f>
        <v>2.1324176288467243</v>
      </c>
      <c r="W44">
        <f>IF(I44&lt;0.7,0,_xll.InterpMatrix('C'!$B$3:$AA$10,I44,C44))</f>
        <v>1.886541377925692E-2</v>
      </c>
    </row>
    <row r="45" spans="1:23" x14ac:dyDescent="0.25">
      <c r="A45" s="28">
        <v>6</v>
      </c>
      <c r="B45" s="146">
        <f>'Cp Calcs'!D32/(Sections!Q45*Sections!R45*2)</f>
        <v>0.79216073152490651</v>
      </c>
      <c r="C45" s="147">
        <f t="shared" si="0"/>
        <v>20.91061085942356</v>
      </c>
      <c r="D45" s="148">
        <f>IF(B45&lt;=0.72,_xll.Spline(Deadrise!$A$2:$A$25,Deadrise!$B$2:$B$25,Sections!B45,TRUE),V45)</f>
        <v>1.7512762740252583</v>
      </c>
      <c r="E45" s="203"/>
      <c r="F45" s="155">
        <f t="shared" si="1"/>
        <v>0.79216073152490651</v>
      </c>
      <c r="G45" s="156">
        <f>IF('Section Calcs'!AU107&lt;0,0,'Section Calcs'!AU107)</f>
        <v>0.38207508177540683</v>
      </c>
      <c r="H45" s="74">
        <f t="shared" si="2"/>
        <v>32.706396101651208</v>
      </c>
      <c r="I45" s="155">
        <f>K45/2+(1-K45)*(1+M45)^2*(1-M45/(2*(1+M45)^2)-M45*LN((1+M45)/M45))</f>
        <v>0.78994352560931402</v>
      </c>
      <c r="J45" s="156">
        <f t="shared" si="4"/>
        <v>0.79216073152490651</v>
      </c>
      <c r="K45" s="156">
        <f t="shared" si="6"/>
        <v>0.38207508177540683</v>
      </c>
      <c r="L45" s="34">
        <f t="shared" si="7"/>
        <v>5.9675491096412231E-3</v>
      </c>
      <c r="M45" s="81">
        <f>IF(J45&lt;0.72,0,_xll.InterpMatrix('C'!$B$3:$AA$10,J45,C45))</f>
        <v>9.4769262212641998E-3</v>
      </c>
      <c r="N45" s="34">
        <f t="shared" si="8"/>
        <v>0.62969247309864207</v>
      </c>
      <c r="O45" s="159">
        <f t="shared" si="9"/>
        <v>0.37621905291511165</v>
      </c>
      <c r="Q45" s="162">
        <f>'Cxx Selected'!I18</f>
        <v>5.5323007610547359</v>
      </c>
      <c r="R45" s="68">
        <f>'Cp Ref Calcs'!F29</f>
        <v>4.8514589937413639</v>
      </c>
      <c r="T45" s="29">
        <f t="shared" si="5"/>
        <v>1.7512762740252583</v>
      </c>
      <c r="V45" s="30">
        <f>90-DEGREES(ATAN('Section Calcs'!D109/'Section Calcs'!$D$26))</f>
        <v>1.7512762740252583</v>
      </c>
      <c r="W45">
        <f>IF(I45&lt;0.7,0,_xll.InterpMatrix('C'!$B$3:$AA$10,I45,C45))</f>
        <v>1.0992100327981506E-2</v>
      </c>
    </row>
    <row r="46" spans="1:23" x14ac:dyDescent="0.25">
      <c r="A46" s="28">
        <v>5</v>
      </c>
      <c r="B46" s="146">
        <f>'Cp Calcs'!D33/(Sections!Q46*Sections!R46*2)</f>
        <v>0.7543684335729316</v>
      </c>
      <c r="C46" s="147">
        <f t="shared" si="0"/>
        <v>23.081547036781732</v>
      </c>
      <c r="D46" s="148">
        <f>IF(B46&lt;=0.72,_xll.Spline(Deadrise!$A$2:$A$25,Deadrise!$B$2:$B$25,Sections!B46,TRUE),V46)</f>
        <v>3.3123586654853199</v>
      </c>
      <c r="E46" s="203"/>
      <c r="F46" s="155">
        <f t="shared" si="1"/>
        <v>0.7543684335729316</v>
      </c>
      <c r="G46" s="156">
        <f>IF('Section Calcs'!AU112&lt;0,0,'Section Calcs'!AU112)</f>
        <v>0.42615553917365823</v>
      </c>
      <c r="H46" s="74">
        <f t="shared" si="2"/>
        <v>17.278302317775626</v>
      </c>
      <c r="I46" s="155">
        <f t="shared" si="3"/>
        <v>0.75213685085689952</v>
      </c>
      <c r="J46" s="156">
        <f t="shared" si="4"/>
        <v>0.7543684335729316</v>
      </c>
      <c r="K46" s="156">
        <f t="shared" si="6"/>
        <v>0.42615553917365823</v>
      </c>
      <c r="L46" s="34">
        <f t="shared" si="7"/>
        <v>1.557898677984172E-2</v>
      </c>
      <c r="M46" s="81">
        <f>IF(J46&lt;0.72,0,_xll.InterpMatrix('C'!$B$3:$AA$10,J46,C46))</f>
        <v>2.5799995446278357E-2</v>
      </c>
      <c r="N46" s="34">
        <f t="shared" si="8"/>
        <v>0.60383680347079227</v>
      </c>
      <c r="O46" s="159">
        <f t="shared" si="9"/>
        <v>0.41135035469746656</v>
      </c>
      <c r="Q46" s="162">
        <f>'Cxx Selected'!I19</f>
        <v>4.8545614277492115</v>
      </c>
      <c r="R46" s="68">
        <f>'Cp Ref Calcs'!F30</f>
        <v>4.8514589937413639</v>
      </c>
      <c r="T46" s="29">
        <f t="shared" si="5"/>
        <v>3.3123586654853199</v>
      </c>
      <c r="V46" s="30">
        <f>90-DEGREES(ATAN('Section Calcs'!D114/'Section Calcs'!$D$26))</f>
        <v>3.3123586654853199</v>
      </c>
      <c r="W46">
        <f>IF(I46&lt;0.7,0,_xll.InterpMatrix('C'!$B$3:$AA$10,I46,C46))</f>
        <v>2.8320238017156642E-2</v>
      </c>
    </row>
    <row r="47" spans="1:23" x14ac:dyDescent="0.25">
      <c r="A47" s="28">
        <v>4</v>
      </c>
      <c r="B47" s="146">
        <f>'Cp Calcs'!D34/(Sections!Q47*Sections!R47*2)</f>
        <v>0.70134145729091024</v>
      </c>
      <c r="C47" s="147">
        <f t="shared" si="0"/>
        <v>23.319003646585781</v>
      </c>
      <c r="D47" s="148">
        <f>IF(B47&lt;=0.72,_xll.Spline(Deadrise!$A$2:$A$25,Deadrise!$B$2:$B$25,Sections!B47,TRUE),V47)</f>
        <v>28.255931538698892</v>
      </c>
      <c r="E47" s="203"/>
      <c r="F47" s="155">
        <f t="shared" si="1"/>
        <v>0.70134145729091024</v>
      </c>
      <c r="G47" s="156">
        <f>IF('Section Calcs'!AU117&lt;0,0,'Section Calcs'!AU117)</f>
        <v>0.43106128965563467</v>
      </c>
      <c r="H47" s="74">
        <f t="shared" si="2"/>
        <v>1.8606284938993773</v>
      </c>
      <c r="I47" s="155" t="e">
        <f t="shared" si="3"/>
        <v>#DIV/0!</v>
      </c>
      <c r="J47" s="156">
        <f t="shared" si="4"/>
        <v>0.70134145729091024</v>
      </c>
      <c r="K47" s="156">
        <f t="shared" si="6"/>
        <v>0.43106128965563467</v>
      </c>
      <c r="L47" s="34">
        <f t="shared" si="7"/>
        <v>0</v>
      </c>
      <c r="M47" s="81">
        <f>IF(J47&lt;0.72,0,_xll.InterpMatrix('C'!$B$3:$AA$10,J47,C47))</f>
        <v>0</v>
      </c>
      <c r="N47" s="34">
        <f t="shared" si="8"/>
        <v>0.56893871034436527</v>
      </c>
      <c r="O47" s="159">
        <f t="shared" si="9"/>
        <v>0.43106128965563467</v>
      </c>
      <c r="Q47" s="162">
        <f>'Cxx Selected'!I20</f>
        <v>4.0729621172485997</v>
      </c>
      <c r="R47" s="68">
        <f>'Cp Ref Calcs'!F31</f>
        <v>4.8514589937413639</v>
      </c>
      <c r="T47" s="29">
        <f t="shared" si="5"/>
        <v>28.255931538698892</v>
      </c>
      <c r="V47" s="30">
        <f>90-DEGREES(ATAN('Section Calcs'!D119/'Section Calcs'!$D$26))</f>
        <v>0.99939008042304067</v>
      </c>
      <c r="W47" t="e">
        <f>IF(I47&lt;0.7,0,_xll.InterpMatrix('C'!$B$3:$AA$10,I47,C47))</f>
        <v>#DIV/0!</v>
      </c>
    </row>
    <row r="48" spans="1:23" x14ac:dyDescent="0.25">
      <c r="A48" s="28">
        <v>3</v>
      </c>
      <c r="B48" s="146">
        <f>'Cp Calcs'!D35/(Sections!Q48*Sections!R48*2)</f>
        <v>0.63111367754702996</v>
      </c>
      <c r="C48" s="147">
        <f t="shared" si="0"/>
        <v>21.351537351515862</v>
      </c>
      <c r="D48" s="148">
        <f>IF(B48&lt;=0.72,_xll.Spline(Deadrise!$A$2:$A$25,Deadrise!$B$2:$B$25,Sections!B48,TRUE),V48)</f>
        <v>72.392092148085126</v>
      </c>
      <c r="E48" s="203"/>
      <c r="F48" s="155">
        <f t="shared" si="1"/>
        <v>0.63111367754702996</v>
      </c>
      <c r="G48" s="156">
        <f>IF('Section Calcs'!AU122&lt;0,0,'Section Calcs'!AU122)</f>
        <v>0.39092030006452949</v>
      </c>
      <c r="H48" s="74">
        <f t="shared" si="2"/>
        <v>0.31737059872946433</v>
      </c>
      <c r="I48" s="155" t="e">
        <f t="shared" si="3"/>
        <v>#DIV/0!</v>
      </c>
      <c r="J48" s="156">
        <f t="shared" si="4"/>
        <v>0.63111367754702996</v>
      </c>
      <c r="K48" s="156">
        <f t="shared" si="6"/>
        <v>0.39092030006452949</v>
      </c>
      <c r="L48" s="34">
        <f t="shared" si="7"/>
        <v>0</v>
      </c>
      <c r="M48" s="81">
        <f>IF(J48&lt;0.72,0,_xll.InterpMatrix('C'!$B$3:$AA$10,J48,C48))</f>
        <v>0</v>
      </c>
      <c r="N48" s="34">
        <f>(1-K48)*(1+M48)^2</f>
        <v>0.60907969993547051</v>
      </c>
      <c r="O48" s="159">
        <f>K48-M48*(1-K48)</f>
        <v>0.39092030006452949</v>
      </c>
      <c r="Q48" s="162">
        <f>'Cxx Selected'!I21</f>
        <v>3.19606332518075</v>
      </c>
      <c r="R48" s="68">
        <f>'Cp Ref Calcs'!F32</f>
        <v>4.8514589937413639</v>
      </c>
      <c r="T48" s="29">
        <f t="shared" si="5"/>
        <v>72.392092148085126</v>
      </c>
      <c r="V48" s="30">
        <f>90-DEGREES(ATAN('Section Calcs'!D124/'Section Calcs'!$D$26))</f>
        <v>0.93461231240077325</v>
      </c>
      <c r="W48" t="e">
        <f>IF(I48&lt;0.7,0,_xll.InterpMatrix('C'!$B$3:$AA$10,I48,C48))</f>
        <v>#DIV/0!</v>
      </c>
    </row>
    <row r="49" spans="1:23" x14ac:dyDescent="0.25">
      <c r="A49" s="28">
        <v>2</v>
      </c>
      <c r="B49" s="146">
        <f>'Cp Calcs'!D36/(Sections!Q49*Sections!R49*2)</f>
        <v>0.54187409409666798</v>
      </c>
      <c r="C49" s="147">
        <f t="shared" si="0"/>
        <v>17.086278655224003</v>
      </c>
      <c r="D49" s="148">
        <f>IF(B49&lt;=0.72,_xll.Spline(Deadrise!$A$2:$A$25,Deadrise!$B$2:$B$25,Sections!B49,TRUE),V49)</f>
        <v>90.001159402769559</v>
      </c>
      <c r="E49" s="203"/>
      <c r="F49" s="155">
        <f t="shared" si="1"/>
        <v>0.54187409409666798</v>
      </c>
      <c r="G49" s="156">
        <f>IF('Section Calcs'!AU127&lt;0,0,'Section Calcs'!AU127)</f>
        <v>0.30737804109301192</v>
      </c>
      <c r="H49" s="74">
        <f t="shared" si="2"/>
        <v>-2.0235395688442188E-5</v>
      </c>
      <c r="I49" s="155" t="e">
        <f t="shared" si="3"/>
        <v>#DIV/0!</v>
      </c>
      <c r="J49" s="156">
        <f t="shared" si="4"/>
        <v>0.54187409409666798</v>
      </c>
      <c r="K49" s="156">
        <f t="shared" si="6"/>
        <v>0.30737804109301192</v>
      </c>
      <c r="L49" s="34">
        <f t="shared" si="7"/>
        <v>0</v>
      </c>
      <c r="M49" s="81">
        <f>IF(J49&lt;0.72,0,_xll.InterpMatrix('C'!$B$3:$AA$10,J49,C49))</f>
        <v>0</v>
      </c>
      <c r="N49" s="34">
        <f t="shared" si="8"/>
        <v>0.69262195890698808</v>
      </c>
      <c r="O49" s="159">
        <f t="shared" si="9"/>
        <v>0.30737804109301192</v>
      </c>
      <c r="Q49" s="162">
        <f>'Cxx Selected'!I22</f>
        <v>2.2285153827270259</v>
      </c>
      <c r="R49" s="68">
        <f>'Cp Ref Calcs'!F33</f>
        <v>4.8514589937413639</v>
      </c>
      <c r="T49" s="29">
        <f t="shared" si="5"/>
        <v>90.001159402769559</v>
      </c>
      <c r="V49" s="30">
        <f>90-DEGREES(ATAN('Section Calcs'!D129/'Section Calcs'!$D$26))</f>
        <v>0.82351853997839441</v>
      </c>
      <c r="W49" t="e">
        <f>IF(I49&lt;0.7,0,_xll.InterpMatrix('C'!$B$3:$AA$10,I49,C49))</f>
        <v>#DIV/0!</v>
      </c>
    </row>
    <row r="50" spans="1:23" x14ac:dyDescent="0.25">
      <c r="A50" s="28">
        <v>1</v>
      </c>
      <c r="B50" s="146">
        <f>'Cp Calcs'!D37/(Sections!Q50*Sections!R50*2)</f>
        <v>0.43243572261102886</v>
      </c>
      <c r="C50" s="147">
        <f t="shared" si="0"/>
        <v>11.261155885047669</v>
      </c>
      <c r="D50" s="148">
        <f>IF(B50&lt;=0.72,_xll.Spline(Deadrise!$A$2:$A$25,Deadrise!$B$2:$B$25,Sections!B50,TRUE),V50)</f>
        <v>89.986037809451901</v>
      </c>
      <c r="E50" s="203"/>
      <c r="F50" s="155">
        <f t="shared" si="1"/>
        <v>0.43243572261102886</v>
      </c>
      <c r="G50" s="156">
        <f>IF('Section Calcs'!AU132&lt;0,0,'Section Calcs'!AU132)</f>
        <v>0.19911478594635354</v>
      </c>
      <c r="H50" s="74">
        <f t="shared" si="2"/>
        <v>2.436862006786837E-4</v>
      </c>
      <c r="I50" s="155" t="e">
        <f t="shared" si="3"/>
        <v>#DIV/0!</v>
      </c>
      <c r="J50" s="156">
        <f t="shared" si="4"/>
        <v>0.43243572261102886</v>
      </c>
      <c r="K50" s="156">
        <f t="shared" si="6"/>
        <v>0.19911478594635354</v>
      </c>
      <c r="L50" s="34">
        <f t="shared" si="7"/>
        <v>0</v>
      </c>
      <c r="M50" s="81">
        <f>IF(J50&lt;0.72,0,_xll.InterpMatrix('C'!$B$3:$AA$10,J50,C50))</f>
        <v>0</v>
      </c>
      <c r="N50" s="34">
        <f t="shared" si="8"/>
        <v>0.80088521405364643</v>
      </c>
      <c r="O50" s="159">
        <f t="shared" si="9"/>
        <v>0.19911478594635354</v>
      </c>
      <c r="Q50" s="162">
        <f>'Cxx Selected'!I23</f>
        <v>1.1677255902877577</v>
      </c>
      <c r="R50" s="68">
        <f>'Cp Ref Calcs'!F34</f>
        <v>4.8514589937413639</v>
      </c>
      <c r="T50" s="29">
        <f t="shared" si="5"/>
        <v>89.986037809451901</v>
      </c>
      <c r="V50" s="30">
        <f>90-DEGREES(ATAN('Section Calcs'!D134/'Section Calcs'!$D$26))</f>
        <v>0.71359451710253552</v>
      </c>
      <c r="W50" t="e">
        <f>IF(I50&lt;0.7,0,_xll.InterpMatrix('C'!$B$3:$AA$10,I50,C50))</f>
        <v>#DIV/0!</v>
      </c>
    </row>
    <row r="51" spans="1:23" x14ac:dyDescent="0.25">
      <c r="A51" s="28">
        <v>0</v>
      </c>
      <c r="B51" s="149">
        <v>0</v>
      </c>
      <c r="C51" s="150">
        <v>0</v>
      </c>
      <c r="D51" s="151"/>
      <c r="E51" s="152"/>
      <c r="F51" s="33"/>
      <c r="G51" s="32"/>
      <c r="H51" s="139"/>
      <c r="I51" s="33"/>
      <c r="J51" s="32"/>
      <c r="K51" s="32"/>
      <c r="L51" s="32"/>
      <c r="M51" s="32"/>
      <c r="N51" s="32"/>
      <c r="O51" s="139"/>
      <c r="Q51" s="163">
        <f>'Cxx Selected'!I24</f>
        <v>-2.2699878228436815E-13</v>
      </c>
      <c r="R51" s="70">
        <v>0</v>
      </c>
      <c r="T51" s="29">
        <f t="shared" si="5"/>
        <v>0</v>
      </c>
    </row>
  </sheetData>
  <phoneticPr fontId="12" type="noConversion"/>
  <conditionalFormatting sqref="J31:J50">
    <cfRule type="cellIs" dxfId="3" priority="1" stopIfTrue="1" operator="greaterThan">
      <formula>0.72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9:AA44"/>
  <sheetViews>
    <sheetView zoomScale="75" zoomScaleNormal="75" workbookViewId="0">
      <selection activeCell="L35" sqref="L35"/>
    </sheetView>
  </sheetViews>
  <sheetFormatPr defaultRowHeight="15" x14ac:dyDescent="0.25"/>
  <cols>
    <col min="1" max="1" width="3.140625" bestFit="1" customWidth="1"/>
    <col min="2" max="2" width="10.140625" bestFit="1" customWidth="1"/>
    <col min="3" max="3" width="4.5703125" bestFit="1" customWidth="1"/>
    <col min="4" max="4" width="12.7109375" bestFit="1" customWidth="1"/>
    <col min="5" max="5" width="11.7109375" bestFit="1" customWidth="1"/>
    <col min="6" max="6" width="10.42578125" bestFit="1" customWidth="1"/>
    <col min="7" max="7" width="13.7109375" bestFit="1" customWidth="1"/>
    <col min="8" max="8" width="10.5703125" bestFit="1" customWidth="1"/>
    <col min="9" max="9" width="6.7109375" bestFit="1" customWidth="1"/>
    <col min="10" max="10" width="7" bestFit="1" customWidth="1"/>
    <col min="11" max="11" width="12.7109375" bestFit="1" customWidth="1"/>
    <col min="12" max="12" width="7.28515625" bestFit="1" customWidth="1"/>
    <col min="13" max="13" width="6.7109375" bestFit="1" customWidth="1"/>
    <col min="14" max="14" width="7" bestFit="1" customWidth="1"/>
    <col min="15" max="17" width="12.140625" bestFit="1" customWidth="1"/>
    <col min="18" max="18" width="12.7109375" bestFit="1" customWidth="1"/>
    <col min="19" max="19" width="9.5703125" bestFit="1" customWidth="1"/>
    <col min="20" max="20" width="5.7109375" bestFit="1" customWidth="1"/>
    <col min="21" max="21" width="7.140625" bestFit="1" customWidth="1"/>
    <col min="22" max="22" width="9.28515625" bestFit="1" customWidth="1"/>
    <col min="23" max="23" width="5.7109375" bestFit="1" customWidth="1"/>
    <col min="25" max="25" width="8.7109375" bestFit="1" customWidth="1"/>
    <col min="26" max="26" width="13.85546875" bestFit="1" customWidth="1"/>
  </cols>
  <sheetData>
    <row r="29" spans="2:27" x14ac:dyDescent="0.25">
      <c r="B29" s="16" t="s">
        <v>255</v>
      </c>
      <c r="E29" s="50" t="s">
        <v>232</v>
      </c>
      <c r="F29" s="140" t="s">
        <v>232</v>
      </c>
      <c r="G29" s="185" t="s">
        <v>105</v>
      </c>
      <c r="H29" s="141"/>
      <c r="I29" s="78" t="s">
        <v>112</v>
      </c>
      <c r="J29" s="78" t="s">
        <v>75</v>
      </c>
      <c r="K29" s="79" t="s">
        <v>113</v>
      </c>
      <c r="L29" s="63"/>
      <c r="M29" s="78" t="s">
        <v>112</v>
      </c>
      <c r="N29" s="78" t="s">
        <v>75</v>
      </c>
      <c r="O29" s="78" t="s">
        <v>73</v>
      </c>
      <c r="P29" s="78" t="s">
        <v>72</v>
      </c>
      <c r="Q29" s="78" t="s">
        <v>71</v>
      </c>
      <c r="R29" s="79" t="s">
        <v>70</v>
      </c>
      <c r="T29" s="160"/>
      <c r="U29" s="53"/>
      <c r="W29" s="34"/>
      <c r="X29" s="34"/>
    </row>
    <row r="30" spans="2:27" x14ac:dyDescent="0.25">
      <c r="E30" s="184" t="s">
        <v>233</v>
      </c>
      <c r="F30" s="34" t="s">
        <v>110</v>
      </c>
      <c r="G30" s="186" t="s">
        <v>256</v>
      </c>
      <c r="H30" s="142"/>
      <c r="I30" s="80" t="s">
        <v>107</v>
      </c>
      <c r="J30" s="268" t="s">
        <v>106</v>
      </c>
      <c r="K30" s="77" t="s">
        <v>108</v>
      </c>
      <c r="L30" s="61"/>
      <c r="M30" s="80" t="s">
        <v>107</v>
      </c>
      <c r="N30" s="80" t="s">
        <v>106</v>
      </c>
      <c r="O30" s="80"/>
      <c r="P30" s="80"/>
      <c r="Q30" s="80"/>
      <c r="R30" s="77"/>
      <c r="T30" s="66" t="s">
        <v>22</v>
      </c>
      <c r="U30" s="188" t="s">
        <v>100</v>
      </c>
      <c r="W30" s="34"/>
      <c r="Y30" s="34" t="s">
        <v>105</v>
      </c>
      <c r="AA30" s="28"/>
    </row>
    <row r="31" spans="2:27" x14ac:dyDescent="0.25">
      <c r="B31" s="182">
        <f t="shared" ref="B31:B41" si="0">B32-0.075</f>
        <v>2.5000000000000216E-2</v>
      </c>
      <c r="C31" s="183">
        <f t="shared" ref="C31:C43" si="1">20-B31*20</f>
        <v>19.499999999999996</v>
      </c>
      <c r="D31" s="187">
        <f>-(1-B31)*(Inputs!$B$3)</f>
        <v>-123.33119970738841</v>
      </c>
      <c r="E31" s="143">
        <f>_xll.Spline('Cp Calcs'!$A$18:$A$38,'Cp Calcs'!$D$18:$D$38,Bulkheads!B31,TRUE)/(2*T31*U31)</f>
        <v>0.60699390814105225</v>
      </c>
      <c r="F31" s="144">
        <f>DEGREES(ATAN(J31))</f>
        <v>2.836822755727848</v>
      </c>
      <c r="G31" s="145">
        <f>_xll.Spline(Sections!$A$31:$A$50,Sections!$T$31:$T$50,Bulkheads!C31,TRUE)</f>
        <v>44.178664028995975</v>
      </c>
      <c r="H31" s="205"/>
      <c r="I31" s="241">
        <f t="shared" ref="I31:I43" si="2">E31</f>
        <v>0.60699390814105225</v>
      </c>
      <c r="J31" s="242">
        <f>IF(_xll.Spline(Sections!$A$31:$A$50,Sections!$G$31:$G$50,Bulkheads!C31,TRUE)&lt;0,0,_xll.Spline(Sections!$A$31:$A$50,Sections!$G$31:$G$50,Bulkheads!C31,TRUE))</f>
        <v>4.9552395378150607E-2</v>
      </c>
      <c r="K31" s="243">
        <f t="shared" ref="K31:K43" si="3">IF(H31="",1/TAN(G31*PI()/180),1/TAN(H31*PI()/180))</f>
        <v>1.0290890180394467</v>
      </c>
      <c r="L31" s="241" t="e">
        <f>N31/2+(1-N31)*(1+P31)^2*(1-P31/(2*(1+P31)^2)-P31*LN((1+P31)/P31))</f>
        <v>#DIV/0!</v>
      </c>
      <c r="M31" s="242">
        <f t="shared" ref="M31:M43" si="4">E31</f>
        <v>0.60699390814105225</v>
      </c>
      <c r="N31" s="242">
        <f>J31</f>
        <v>4.9552395378150607E-2</v>
      </c>
      <c r="O31" s="244">
        <f>(1-N31)*(1+P31)^2*P31</f>
        <v>0</v>
      </c>
      <c r="P31" s="245">
        <f>IF(M31&lt;0.72,0,_xll.InterpMatrix('C'!$B$3:$AA$10,M31,F31))</f>
        <v>0</v>
      </c>
      <c r="Q31" s="244">
        <f>(1-N31)*(1+P31)^2</f>
        <v>0.95044760462184941</v>
      </c>
      <c r="R31" s="246">
        <f>N31-P31*(1-N31)</f>
        <v>4.9552395378150607E-2</v>
      </c>
      <c r="S31" s="247"/>
      <c r="T31" s="248">
        <f>_xll.Spline('Cwl Opt2 Calcs'!$A$21:$A$41,'Cwl Opt2 Calcs'!$D$21:$D$41,Bulkheads!B31,TRUE)</f>
        <v>4.9618038633517552</v>
      </c>
      <c r="U31" s="249">
        <f>Inputs!$B$6-IF(D31&lt;'Profile Calcs'!$B$23,_xll.Spline('Profile Calcs'!$B$23:$B$28,'Profile Calcs'!$C$23:$C$28,D31,TRUE),IF(D31&gt;'Profile Calcs'!$B$20,_xll.Spline('Profile Calcs'!$B$17:$B$20,'Profile Calcs'!$C$17:$C$20,D31,TRUE),0))</f>
        <v>1.2311990368831971</v>
      </c>
      <c r="V31" s="247"/>
      <c r="W31" s="250">
        <f t="shared" ref="W31:W43" si="5">IF(H31="",G31,H31)</f>
        <v>44.178664028995975</v>
      </c>
      <c r="X31" s="247"/>
      <c r="Y31" s="251">
        <f>IF(E31&lt;0.7,_xll.Spline(Deadrise!$A$2:$A$25,Deadrise!$B$2:$B$25,Bulkheads!E31,TRUE)-F31,90-DEGREES(ATAN('BHD Calcs'!D28/'BHD Calcs'!$D$26)))</f>
        <v>86.65936833102468</v>
      </c>
    </row>
    <row r="32" spans="2:27" x14ac:dyDescent="0.25">
      <c r="B32" s="182">
        <f t="shared" si="0"/>
        <v>0.10000000000000021</v>
      </c>
      <c r="C32" s="183">
        <f t="shared" si="1"/>
        <v>17.999999999999996</v>
      </c>
      <c r="D32" s="187">
        <f>-(1-B32)*(Inputs!$B$3)</f>
        <v>-113.84418434528162</v>
      </c>
      <c r="E32" s="146">
        <f>_xll.Spline('Cp Calcs'!$A$18:$A$38,'Cp Calcs'!$D$18:$D$38,Bulkheads!B32,TRUE)/(2*T32*U32)</f>
        <v>0.59559465714785498</v>
      </c>
      <c r="F32" s="147">
        <f t="shared" ref="F32:F43" si="6">DEGREES(ATAN(J32))</f>
        <v>5.2719322788055427</v>
      </c>
      <c r="G32" s="148">
        <f>_xll.Spline(Sections!$A$31:$A$50,Sections!$T$31:$T$50,Bulkheads!C32,TRUE)</f>
        <v>36.858886281317474</v>
      </c>
      <c r="H32" s="206"/>
      <c r="I32" s="252">
        <f t="shared" si="2"/>
        <v>0.59559465714785498</v>
      </c>
      <c r="J32" s="253">
        <f>IF(_xll.Spline(Sections!$A$31:$A$50,Sections!$G$31:$G$50,Bulkheads!C32,TRUE)&lt;0,0,_xll.Spline(Sections!$A$31:$A$50,Sections!$G$31:$G$50,Bulkheads!C32,TRUE))</f>
        <v>9.2273127733580512E-2</v>
      </c>
      <c r="K32" s="254">
        <f t="shared" si="3"/>
        <v>1.3338673161879406</v>
      </c>
      <c r="L32" s="252" t="e">
        <f t="shared" ref="L32:L43" si="7">N32/2+(1-N32)*(1+P32)^2*(1-P32/(2*(1+P32)^2)-P32*LN((1+P32)/P32))</f>
        <v>#DIV/0!</v>
      </c>
      <c r="M32" s="253">
        <f t="shared" si="4"/>
        <v>0.59559465714785498</v>
      </c>
      <c r="N32" s="253">
        <f>J32</f>
        <v>9.2273127733580512E-2</v>
      </c>
      <c r="O32" s="255">
        <f>(1-N32)*(1+P32)^2*P32</f>
        <v>0</v>
      </c>
      <c r="P32" s="256">
        <f>IF(M32&lt;0.72,0,_xll.InterpMatrix('C'!$B$3:$AA$10,M32,F32))</f>
        <v>0</v>
      </c>
      <c r="Q32" s="255">
        <f>(1-N32)*(1+P32)^2</f>
        <v>0.90772687226641946</v>
      </c>
      <c r="R32" s="257">
        <f>N32-P32*(1-N32)</f>
        <v>9.2273127733580512E-2</v>
      </c>
      <c r="S32" s="247"/>
      <c r="T32" s="258">
        <f>_xll.Spline('Cwl Opt2 Calcs'!$A$21:$A$41,'Cwl Opt2 Calcs'!$D$21:$D$41,Bulkheads!B32,TRUE)</f>
        <v>5.8734257414726176</v>
      </c>
      <c r="U32" s="259">
        <f>Inputs!$B$6-IF(D32&lt;'Profile Calcs'!$B$23,_xll.Spline('Profile Calcs'!$B$23:$B$28,'Profile Calcs'!$C$23:$C$28,D32,TRUE),IF(D32&gt;'Profile Calcs'!$B$20,_xll.Spline('Profile Calcs'!$B$17:$B$20,'Profile Calcs'!$C$17:$C$20,D32,TRUE),0))</f>
        <v>2.3293987629240012</v>
      </c>
      <c r="V32" s="247"/>
      <c r="W32" s="250">
        <f t="shared" si="5"/>
        <v>36.858886281317474</v>
      </c>
      <c r="X32" s="247"/>
      <c r="Y32" s="251">
        <f>IF(E32&lt;0.7,_xll.Spline(Deadrise!$A$2:$A$25,Deadrise!$B$2:$B$25,Bulkheads!E32,TRUE)-F32,90-DEGREES(ATAN('BHD Calcs'!D34/'BHD Calcs'!$D$26)))</f>
        <v>84.809683910803969</v>
      </c>
    </row>
    <row r="33" spans="2:25" x14ac:dyDescent="0.25">
      <c r="B33" s="182">
        <f t="shared" si="0"/>
        <v>0.17500000000000021</v>
      </c>
      <c r="C33" s="183">
        <f t="shared" si="1"/>
        <v>16.499999999999996</v>
      </c>
      <c r="D33" s="187">
        <f>-(1-B33)*(Inputs!$B$3)</f>
        <v>-104.3571689831748</v>
      </c>
      <c r="E33" s="146">
        <f>_xll.Spline('Cp Calcs'!$A$18:$A$38,'Cp Calcs'!$D$18:$D$38,Bulkheads!B33,TRUE)/(2*T33*U33)</f>
        <v>0.66776188874976905</v>
      </c>
      <c r="F33" s="147">
        <f t="shared" si="6"/>
        <v>2.424002916601975</v>
      </c>
      <c r="G33" s="148">
        <f>_xll.Spline(Sections!$A$31:$A$50,Sections!$T$31:$T$50,Bulkheads!C33,TRUE)</f>
        <v>31.519148620029629</v>
      </c>
      <c r="H33" s="206"/>
      <c r="I33" s="252">
        <f t="shared" si="2"/>
        <v>0.66776188874976905</v>
      </c>
      <c r="J33" s="253">
        <f>IF(_xll.Spline(Sections!$A$31:$A$50,Sections!$G$31:$G$50,Bulkheads!C33,TRUE)&lt;0,0,_xll.Spline(Sections!$A$31:$A$50,Sections!$G$31:$G$50,Bulkheads!C33,TRUE))</f>
        <v>4.233209127248428E-2</v>
      </c>
      <c r="K33" s="254">
        <f t="shared" si="3"/>
        <v>1.630628176144568</v>
      </c>
      <c r="L33" s="252" t="e">
        <f t="shared" si="7"/>
        <v>#DIV/0!</v>
      </c>
      <c r="M33" s="253">
        <f t="shared" si="4"/>
        <v>0.66776188874976905</v>
      </c>
      <c r="N33" s="253">
        <f t="shared" ref="N33:N43" si="8">J33</f>
        <v>4.233209127248428E-2</v>
      </c>
      <c r="O33" s="255">
        <f>(1-N33)*(1+P33)^2*P33</f>
        <v>0</v>
      </c>
      <c r="P33" s="256">
        <f>IF(M33&lt;0.72,0,_xll.InterpMatrix('C'!$B$3:$AA$10,M33,F33))</f>
        <v>0</v>
      </c>
      <c r="Q33" s="255">
        <f>(1-N33)*(1+P33)^2</f>
        <v>0.95766790872751573</v>
      </c>
      <c r="R33" s="257">
        <f>N33-P33*(1-N33)</f>
        <v>4.233209127248428E-2</v>
      </c>
      <c r="S33" s="247"/>
      <c r="T33" s="258">
        <f>_xll.Spline('Cwl Opt2 Calcs'!$A$21:$A$41,'Cwl Opt2 Calcs'!$D$21:$D$41,Bulkheads!B33,TRUE)</f>
        <v>5.9646922692357913</v>
      </c>
      <c r="U33" s="259">
        <f>Inputs!$B$6-IF(D33&lt;'Profile Calcs'!$B$23,_xll.Spline('Profile Calcs'!$B$23:$B$28,'Profile Calcs'!$C$23:$C$28,D33,TRUE),IF(D33&gt;'Profile Calcs'!$B$20,_xll.Spline('Profile Calcs'!$B$17:$B$20,'Profile Calcs'!$C$17:$C$20,D33,TRUE),0))</f>
        <v>3.3596469220051488</v>
      </c>
      <c r="V33" s="247"/>
      <c r="W33" s="250">
        <f t="shared" si="5"/>
        <v>31.519148620029629</v>
      </c>
      <c r="X33" s="247"/>
      <c r="Y33" s="251">
        <f>IF(E33&lt;0.7,_xll.Spline(Deadrise!$A$2:$A$25,Deadrise!$B$2:$B$25,Bulkheads!E33,TRUE)-F33,90-DEGREES(ATAN('BHD Calcs'!D40/'BHD Calcs'!$D$26)))</f>
        <v>39.062703625688521</v>
      </c>
    </row>
    <row r="34" spans="2:25" x14ac:dyDescent="0.25">
      <c r="B34" s="182">
        <f t="shared" si="0"/>
        <v>0.25000000000000022</v>
      </c>
      <c r="C34" s="183">
        <f t="shared" si="1"/>
        <v>14.999999999999996</v>
      </c>
      <c r="D34" s="187">
        <f>-(1-B34)*(Inputs!$B$3)</f>
        <v>-94.870153621067999</v>
      </c>
      <c r="E34" s="146">
        <f>_xll.Spline('Cp Calcs'!$A$18:$A$38,'Cp Calcs'!$D$18:$D$38,Bulkheads!B34,TRUE)/(2*T34*U34)</f>
        <v>0.73628983652946756</v>
      </c>
      <c r="F34" s="147">
        <f t="shared" si="6"/>
        <v>0</v>
      </c>
      <c r="G34" s="148">
        <f>_xll.Spline(Sections!$A$31:$A$50,Sections!$T$31:$T$50,Bulkheads!C34,TRUE)</f>
        <v>26.910017201086866</v>
      </c>
      <c r="H34" s="206"/>
      <c r="I34" s="252">
        <f t="shared" si="2"/>
        <v>0.73628983652946756</v>
      </c>
      <c r="J34" s="253">
        <f>IF(_xll.Spline(Sections!$A$31:$A$50,Sections!$G$31:$G$50,Bulkheads!C34,TRUE)&lt;0,0,_xll.Spline(Sections!$A$31:$A$50,Sections!$G$31:$G$50,Bulkheads!C34,TRUE))</f>
        <v>0</v>
      </c>
      <c r="K34" s="254">
        <f t="shared" si="3"/>
        <v>1.9702538665545397</v>
      </c>
      <c r="L34" s="252">
        <f t="shared" si="7"/>
        <v>0.73626663966119443</v>
      </c>
      <c r="M34" s="253">
        <f t="shared" si="4"/>
        <v>0.73628983652946756</v>
      </c>
      <c r="N34" s="253">
        <f t="shared" si="8"/>
        <v>0</v>
      </c>
      <c r="O34" s="255">
        <f t="shared" ref="O34:O43" si="9">(1-N34)*(1+P34)^2*P34</f>
        <v>2.7758710273158029</v>
      </c>
      <c r="P34" s="256">
        <f>IF(M34&lt;0.72,0,_xll.InterpMatrix('C'!$B$3:$AA$10,M34,F34))</f>
        <v>0.82941793199724767</v>
      </c>
      <c r="Q34" s="255">
        <f t="shared" ref="Q34:Q43" si="10">(1-N34)*(1+P34)^2</f>
        <v>3.3467699699130864</v>
      </c>
      <c r="R34" s="257">
        <f t="shared" ref="R34:R43" si="11">N34-P34*(1-N34)</f>
        <v>-0.82941793199724767</v>
      </c>
      <c r="S34" s="247"/>
      <c r="T34" s="258">
        <f>_xll.Spline('Cwl Opt2 Calcs'!$A$21:$A$41,'Cwl Opt2 Calcs'!$D$21:$D$41,Bulkheads!B34,TRUE)</f>
        <v>6.0656496318770348</v>
      </c>
      <c r="U34" s="259">
        <f>Inputs!$B$6-IF(D34&lt;'Profile Calcs'!$B$23,_xll.Spline('Profile Calcs'!$B$23:$B$28,'Profile Calcs'!$C$23:$C$28,D34,TRUE),IF(D34&gt;'Profile Calcs'!$B$20,_xll.Spline('Profile Calcs'!$B$17:$B$20,'Profile Calcs'!$C$17:$C$20,D34,TRUE),0))</f>
        <v>4.1634791059956671</v>
      </c>
      <c r="V34" s="247"/>
      <c r="W34" s="250">
        <f t="shared" si="5"/>
        <v>26.910017201086866</v>
      </c>
      <c r="X34" s="247"/>
      <c r="Y34" s="251">
        <f>IF(E34&lt;0.7,_xll.Spline(Deadrise!$A$2:$A$25,Deadrise!$B$2:$B$25,Bulkheads!E34,TRUE)-F34,90-DEGREES(ATAN('BHD Calcs'!D46/'BHD Calcs'!$D$26)))</f>
        <v>17.572825218214959</v>
      </c>
    </row>
    <row r="35" spans="2:25" x14ac:dyDescent="0.25">
      <c r="B35" s="182">
        <f t="shared" si="0"/>
        <v>0.32500000000000023</v>
      </c>
      <c r="C35" s="183">
        <f t="shared" si="1"/>
        <v>13.499999999999996</v>
      </c>
      <c r="D35" s="187">
        <f>-(1-B35)*(Inputs!$B$3)</f>
        <v>-85.38313825896121</v>
      </c>
      <c r="E35" s="146">
        <f>_xll.Spline('Cp Calcs'!$A$18:$A$38,'Cp Calcs'!$D$18:$D$38,Bulkheads!B35,TRUE)/(2*T35*U35)</f>
        <v>0.7770408460930901</v>
      </c>
      <c r="F35" s="147">
        <f t="shared" si="6"/>
        <v>2.3689571878713774E-3</v>
      </c>
      <c r="G35" s="148">
        <f>_xll.Spline(Sections!$A$31:$A$50,Sections!$T$31:$T$50,Bulkheads!C35,TRUE)</f>
        <v>17.454802825531356</v>
      </c>
      <c r="H35" s="206"/>
      <c r="I35" s="252">
        <f t="shared" si="2"/>
        <v>0.7770408460930901</v>
      </c>
      <c r="J35" s="253">
        <f>IF(_xll.Spline(Sections!$A$31:$A$50,Sections!$G$31:$G$50,Bulkheads!C35,TRUE)&lt;0,0,_xll.Spline(Sections!$A$31:$A$50,Sections!$G$31:$G$50,Bulkheads!C35,TRUE))</f>
        <v>4.1346102790701806E-5</v>
      </c>
      <c r="K35" s="254">
        <f t="shared" si="3"/>
        <v>3.1803404716153403</v>
      </c>
      <c r="L35" s="252">
        <f t="shared" si="7"/>
        <v>0.7769812416764218</v>
      </c>
      <c r="M35" s="253">
        <f t="shared" si="4"/>
        <v>0.7770408460930901</v>
      </c>
      <c r="N35" s="253">
        <f t="shared" si="8"/>
        <v>4.1346102790701806E-5</v>
      </c>
      <c r="O35" s="255">
        <f t="shared" si="9"/>
        <v>0.80053571995831729</v>
      </c>
      <c r="P35" s="256">
        <f>IF(M35&lt;0.72,0,_xll.InterpMatrix('C'!$B$3:$AA$10,M35,F35))</f>
        <v>0.40534970305881818</v>
      </c>
      <c r="Q35" s="255">
        <f t="shared" si="10"/>
        <v>1.974926129012498</v>
      </c>
      <c r="R35" s="257">
        <f t="shared" si="11"/>
        <v>-0.4052915973255386</v>
      </c>
      <c r="S35" s="247"/>
      <c r="T35" s="258">
        <f>_xll.Spline('Cwl Opt2 Calcs'!$A$21:$A$41,'Cwl Opt2 Calcs'!$D$21:$D$41,Bulkheads!B35,TRUE)</f>
        <v>6.3829805719416335</v>
      </c>
      <c r="U35" s="259">
        <f>Inputs!$B$6-IF(D35&lt;'Profile Calcs'!$B$23,_xll.Spline('Profile Calcs'!$B$23:$B$28,'Profile Calcs'!$C$23:$C$28,D35,TRUE),IF(D35&gt;'Profile Calcs'!$B$20,_xll.Spline('Profile Calcs'!$B$17:$B$20,'Profile Calcs'!$C$17:$C$20,D35,TRUE),0))</f>
        <v>4.6585048071498987</v>
      </c>
      <c r="V35" s="247"/>
      <c r="W35" s="250">
        <f t="shared" si="5"/>
        <v>17.454802825531356</v>
      </c>
      <c r="X35" s="247"/>
      <c r="Y35" s="251">
        <f>IF(E35&lt;0.7,_xll.Spline(Deadrise!$A$2:$A$25,Deadrise!$B$2:$B$25,Bulkheads!E35,TRUE)-F35,90-DEGREES(ATAN('BHD Calcs'!D52/'BHD Calcs'!$D$26)))</f>
        <v>12.947775532792562</v>
      </c>
    </row>
    <row r="36" spans="2:25" x14ac:dyDescent="0.25">
      <c r="B36" s="182">
        <f t="shared" si="0"/>
        <v>0.40000000000000024</v>
      </c>
      <c r="C36" s="183">
        <f t="shared" si="1"/>
        <v>11.999999999999995</v>
      </c>
      <c r="D36" s="187">
        <f>-(1-B36)*(Inputs!$B$3)</f>
        <v>-75.896122896854394</v>
      </c>
      <c r="E36" s="146">
        <f>_xll.Spline('Cp Calcs'!$A$18:$A$38,'Cp Calcs'!$D$18:$D$38,Bulkheads!B36,TRUE)/(2*T36*U36)</f>
        <v>0.80090106405992023</v>
      </c>
      <c r="F36" s="147">
        <f t="shared" si="6"/>
        <v>0</v>
      </c>
      <c r="G36" s="148">
        <f>_xll.Spline(Sections!$A$31:$A$50,Sections!$T$31:$T$50,Bulkheads!C36,TRUE)</f>
        <v>13.35150633328322</v>
      </c>
      <c r="H36" s="206"/>
      <c r="I36" s="252">
        <f t="shared" si="2"/>
        <v>0.80090106405992023</v>
      </c>
      <c r="J36" s="253">
        <f>IF(_xll.Spline(Sections!$A$31:$A$50,Sections!$G$31:$G$50,Bulkheads!C36,TRUE)&lt;0,0,_xll.Spline(Sections!$A$31:$A$50,Sections!$G$31:$G$50,Bulkheads!C36,TRUE))</f>
        <v>0</v>
      </c>
      <c r="K36" s="254">
        <f t="shared" si="3"/>
        <v>4.213375907686518</v>
      </c>
      <c r="L36" s="252">
        <f t="shared" si="7"/>
        <v>0.80089086515608265</v>
      </c>
      <c r="M36" s="253">
        <f t="shared" si="4"/>
        <v>0.80090106405992023</v>
      </c>
      <c r="N36" s="253">
        <f t="shared" si="8"/>
        <v>0</v>
      </c>
      <c r="O36" s="255">
        <f t="shared" si="9"/>
        <v>0.46157551937699742</v>
      </c>
      <c r="P36" s="256">
        <f>IF(M36&lt;0.72,0,_xll.InterpMatrix('C'!$B$3:$AA$10,M36,F36))</f>
        <v>0.28119711603892827</v>
      </c>
      <c r="Q36" s="255">
        <f t="shared" si="10"/>
        <v>1.6414660501464673</v>
      </c>
      <c r="R36" s="257">
        <f t="shared" si="11"/>
        <v>-0.28119711603892827</v>
      </c>
      <c r="S36" s="247"/>
      <c r="T36" s="258">
        <f>_xll.Spline('Cwl Opt2 Calcs'!$A$21:$A$41,'Cwl Opt2 Calcs'!$D$21:$D$41,Bulkheads!B36,TRUE)</f>
        <v>6.7991006198618154</v>
      </c>
      <c r="U36" s="259">
        <f>Inputs!$B$6-IF(D36&lt;'Profile Calcs'!$B$23,_xll.Spline('Profile Calcs'!$B$23:$B$28,'Profile Calcs'!$C$23:$C$28,D36,TRUE),IF(D36&gt;'Profile Calcs'!$B$20,_xll.Spline('Profile Calcs'!$B$17:$B$20,'Profile Calcs'!$C$17:$C$20,D36,TRUE),0))</f>
        <v>4.8402615468512789</v>
      </c>
      <c r="V36" s="247"/>
      <c r="W36" s="250">
        <f t="shared" si="5"/>
        <v>13.35150633328322</v>
      </c>
      <c r="X36" s="247"/>
      <c r="Y36" s="251">
        <f>IF(E36&lt;0.7,_xll.Spline(Deadrise!$A$2:$A$25,Deadrise!$B$2:$B$25,Bulkheads!E36,TRUE),90-DEGREES(ATAN('BHD Calcs'!D58/'BHD Calcs'!$D$26)))</f>
        <v>10.576189299472148</v>
      </c>
    </row>
    <row r="37" spans="2:25" x14ac:dyDescent="0.25">
      <c r="B37" s="182">
        <f t="shared" si="0"/>
        <v>0.47500000000000026</v>
      </c>
      <c r="C37" s="183">
        <f t="shared" si="1"/>
        <v>10.499999999999995</v>
      </c>
      <c r="D37" s="187">
        <f>-(1-B37)*(Inputs!$B$3)</f>
        <v>-66.409107534747577</v>
      </c>
      <c r="E37" s="146">
        <f>_xll.Spline('Cp Calcs'!$A$18:$A$38,'Cp Calcs'!$D$18:$D$38,Bulkheads!B37,TRUE)/(2*T37*U37)</f>
        <v>0.81369267045715288</v>
      </c>
      <c r="F37" s="147">
        <f t="shared" si="6"/>
        <v>0.39183068663704379</v>
      </c>
      <c r="G37" s="148">
        <f>_xll.Spline(Sections!$A$31:$A$50,Sections!$T$31:$T$50,Bulkheads!C37,TRUE)</f>
        <v>9.3701564376146766</v>
      </c>
      <c r="H37" s="206"/>
      <c r="I37" s="252">
        <f t="shared" si="2"/>
        <v>0.81369267045715288</v>
      </c>
      <c r="J37" s="253">
        <f>IF(_xll.Spline(Sections!$A$31:$A$50,Sections!$G$31:$G$50,Bulkheads!C37,TRUE)&lt;0,0,_xll.Spline(Sections!$A$31:$A$50,Sections!$G$31:$G$50,Bulkheads!C37,TRUE))</f>
        <v>6.8388422061838802E-3</v>
      </c>
      <c r="K37" s="254">
        <f t="shared" si="3"/>
        <v>6.0600981513646142</v>
      </c>
      <c r="L37" s="252">
        <f t="shared" si="7"/>
        <v>0.81364808057543336</v>
      </c>
      <c r="M37" s="253">
        <f t="shared" si="4"/>
        <v>0.81369267045715288</v>
      </c>
      <c r="N37" s="253">
        <f t="shared" si="8"/>
        <v>6.8388422061838802E-3</v>
      </c>
      <c r="O37" s="255">
        <f t="shared" si="9"/>
        <v>0.33636416459717383</v>
      </c>
      <c r="P37" s="256">
        <f>IF(M37&lt;0.72,0,_xll.InterpMatrix('C'!$B$3:$AA$10,M37,F37))</f>
        <v>0.22550638317551289</v>
      </c>
      <c r="Q37" s="255">
        <f t="shared" si="10"/>
        <v>1.4915948713317781</v>
      </c>
      <c r="R37" s="257">
        <f t="shared" si="11"/>
        <v>-0.21712533839830442</v>
      </c>
      <c r="S37" s="247"/>
      <c r="T37" s="258">
        <f>_xll.Spline('Cwl Opt2 Calcs'!$A$21:$A$41,'Cwl Opt2 Calcs'!$D$21:$D$41,Bulkheads!B37,TRUE)</f>
        <v>7.0771476743455066</v>
      </c>
      <c r="U37" s="259">
        <f>Inputs!$B$6-IF(D37&lt;'Profile Calcs'!$B$23,_xll.Spline('Profile Calcs'!$B$23:$B$28,'Profile Calcs'!$C$23:$C$28,D37,TRUE),IF(D37&gt;'Profile Calcs'!$B$20,_xll.Spline('Profile Calcs'!$B$17:$B$20,'Profile Calcs'!$C$17:$C$20,D37,TRUE),0))</f>
        <v>4.8514589937413639</v>
      </c>
      <c r="V37" s="247"/>
      <c r="W37" s="250">
        <f t="shared" si="5"/>
        <v>9.3701564376146766</v>
      </c>
      <c r="X37" s="247"/>
      <c r="Y37" s="251">
        <f>IF(E37&lt;0.7,_xll.Spline(Deadrise!$A$2:$A$25,Deadrise!$B$2:$B$25,Bulkheads!E37,TRUE),90-DEGREES(ATAN('BHD Calcs'!D64/'BHD Calcs'!$D$26)))</f>
        <v>9.2853542060078809</v>
      </c>
    </row>
    <row r="38" spans="2:25" x14ac:dyDescent="0.25">
      <c r="B38" s="182">
        <f t="shared" si="0"/>
        <v>0.55000000000000027</v>
      </c>
      <c r="C38" s="183">
        <f t="shared" si="1"/>
        <v>8.9999999999999947</v>
      </c>
      <c r="D38" s="187">
        <f>-(1-B38)*(Inputs!$B$3)</f>
        <v>-56.922092172640788</v>
      </c>
      <c r="E38" s="146">
        <f>_xll.Spline('Cp Calcs'!$A$18:$A$38,'Cp Calcs'!$D$18:$D$38,Bulkheads!B38,TRUE)/(2*T38*U38)</f>
        <v>0.81274534181356073</v>
      </c>
      <c r="F38" s="147">
        <f t="shared" si="6"/>
        <v>6.7412857962523844</v>
      </c>
      <c r="G38" s="148">
        <f>_xll.Spline(Sections!$A$31:$A$50,Sections!$T$31:$T$50,Bulkheads!C38,TRUE)</f>
        <v>5.5467527921985189</v>
      </c>
      <c r="H38" s="206"/>
      <c r="I38" s="252">
        <f t="shared" si="2"/>
        <v>0.81274534181356073</v>
      </c>
      <c r="J38" s="253">
        <f>IF(_xll.Spline(Sections!$A$31:$A$50,Sections!$G$31:$G$50,Bulkheads!C38,TRUE)&lt;0,0,_xll.Spline(Sections!$A$31:$A$50,Sections!$G$31:$G$50,Bulkheads!C38,TRUE))</f>
        <v>0.11820358028373841</v>
      </c>
      <c r="K38" s="254">
        <f t="shared" si="3"/>
        <v>10.297317668905226</v>
      </c>
      <c r="L38" s="252">
        <f t="shared" si="7"/>
        <v>0.81276306577804713</v>
      </c>
      <c r="M38" s="253">
        <f t="shared" si="4"/>
        <v>0.81274534181356073</v>
      </c>
      <c r="N38" s="253">
        <f t="shared" si="8"/>
        <v>0.11820358028373841</v>
      </c>
      <c r="O38" s="255">
        <f t="shared" si="9"/>
        <v>0.14167776634060866</v>
      </c>
      <c r="P38" s="256">
        <f>IF(M38&lt;0.72,0,_xll.InterpMatrix('C'!$B$3:$AA$10,M38,F38))</f>
        <v>0.12659052033228757</v>
      </c>
      <c r="Q38" s="255">
        <f t="shared" si="10"/>
        <v>1.1191814834848499</v>
      </c>
      <c r="R38" s="257">
        <f t="shared" si="11"/>
        <v>6.5765126847086158E-3</v>
      </c>
      <c r="S38" s="247"/>
      <c r="T38" s="258">
        <f>_xll.Spline('Cwl Opt2 Calcs'!$A$21:$A$41,'Cwl Opt2 Calcs'!$D$21:$D$41,Bulkheads!B38,TRUE)</f>
        <v>7.0015980056650289</v>
      </c>
      <c r="U38" s="259">
        <f>Inputs!$B$6-IF(D38&lt;'Profile Calcs'!$B$23,_xll.Spline('Profile Calcs'!$B$23:$B$28,'Profile Calcs'!$C$23:$C$28,D38,TRUE),IF(D38&gt;'Profile Calcs'!$B$20,_xll.Spline('Profile Calcs'!$B$17:$B$20,'Profile Calcs'!$C$17:$C$20,D38,TRUE),0))</f>
        <v>4.8514589937413639</v>
      </c>
      <c r="V38" s="247"/>
      <c r="W38" s="250">
        <f t="shared" si="5"/>
        <v>5.5467527921985189</v>
      </c>
      <c r="X38" s="247"/>
      <c r="Y38" s="251">
        <f>IF(E38&lt;0.7,_xll.Spline(Deadrise!$A$2:$A$25,Deadrise!$B$2:$B$25,Bulkheads!E38,TRUE),90-DEGREES(ATAN('BHD Calcs'!D70/'BHD Calcs'!$D$26)))</f>
        <v>6.9527269261775047</v>
      </c>
    </row>
    <row r="39" spans="2:25" x14ac:dyDescent="0.25">
      <c r="B39" s="182">
        <f t="shared" si="0"/>
        <v>0.62500000000000022</v>
      </c>
      <c r="C39" s="183">
        <f t="shared" si="1"/>
        <v>7.4999999999999964</v>
      </c>
      <c r="D39" s="187">
        <f>-(1-B39)*(Inputs!$B$3)</f>
        <v>-47.435076810533985</v>
      </c>
      <c r="E39" s="146">
        <f>_xll.Spline('Cp Calcs'!$A$18:$A$38,'Cp Calcs'!$D$18:$D$38,Bulkheads!B39,TRUE)/(2*T39*U39)</f>
        <v>0.80739956906696486</v>
      </c>
      <c r="F39" s="147">
        <f t="shared" si="6"/>
        <v>14.748927961666768</v>
      </c>
      <c r="G39" s="148">
        <f>_xll.Spline(Sections!$A$31:$A$50,Sections!$T$31:$T$50,Bulkheads!C39,TRUE)</f>
        <v>2.5677073914577004</v>
      </c>
      <c r="H39" s="206"/>
      <c r="I39" s="252">
        <f t="shared" si="2"/>
        <v>0.80739956906696486</v>
      </c>
      <c r="J39" s="253">
        <f>IF(_xll.Spline(Sections!$A$31:$A$50,Sections!$G$31:$G$50,Bulkheads!C39,TRUE)&lt;0,0,_xll.Spline(Sections!$A$31:$A$50,Sections!$G$31:$G$50,Bulkheads!C39,TRUE))</f>
        <v>0.26325802100606371</v>
      </c>
      <c r="K39" s="254">
        <f t="shared" si="3"/>
        <v>22.299042851328256</v>
      </c>
      <c r="L39" s="252">
        <f t="shared" si="7"/>
        <v>0.80751760799934102</v>
      </c>
      <c r="M39" s="253">
        <f t="shared" si="4"/>
        <v>0.80739956906696486</v>
      </c>
      <c r="N39" s="253">
        <f t="shared" si="8"/>
        <v>0.26325802100606371</v>
      </c>
      <c r="O39" s="255">
        <f t="shared" si="9"/>
        <v>3.4301052558056794E-2</v>
      </c>
      <c r="P39" s="256">
        <f>IF(M39&lt;0.72,0,_xll.InterpMatrix('C'!$B$3:$AA$10,M39,F39))</f>
        <v>4.2813318545611878E-2</v>
      </c>
      <c r="Q39" s="255">
        <f t="shared" si="10"/>
        <v>0.80117715055219552</v>
      </c>
      <c r="R39" s="257">
        <f t="shared" si="11"/>
        <v>0.23171565197347183</v>
      </c>
      <c r="S39" s="247"/>
      <c r="T39" s="258">
        <f>_xll.Spline('Cwl Opt2 Calcs'!$A$21:$A$41,'Cwl Opt2 Calcs'!$D$21:$D$41,Bulkheads!B39,TRUE)</f>
        <v>6.4645781024315117</v>
      </c>
      <c r="U39" s="259">
        <f>Inputs!$B$6-IF(D39&lt;'Profile Calcs'!$B$23,_xll.Spline('Profile Calcs'!$B$23:$B$28,'Profile Calcs'!$C$23:$C$28,D39,TRUE),IF(D39&gt;'Profile Calcs'!$B$20,_xll.Spline('Profile Calcs'!$B$17:$B$20,'Profile Calcs'!$C$17:$C$20,D39,TRUE),0))</f>
        <v>4.8514589937413639</v>
      </c>
      <c r="V39" s="247"/>
      <c r="W39" s="250">
        <f t="shared" si="5"/>
        <v>2.5677073914577004</v>
      </c>
      <c r="X39" s="247"/>
      <c r="Y39" s="251">
        <f>90-DEGREES(ATAN('BHD Calcs'!D76/'BHD Calcs'!$D$26))</f>
        <v>3.7148804664759894</v>
      </c>
    </row>
    <row r="40" spans="2:25" x14ac:dyDescent="0.25">
      <c r="B40" s="182">
        <f t="shared" si="0"/>
        <v>0.70000000000000018</v>
      </c>
      <c r="C40" s="183">
        <f t="shared" si="1"/>
        <v>5.9999999999999964</v>
      </c>
      <c r="D40" s="187">
        <f>-(1-B40)*(Inputs!$B$3)</f>
        <v>-37.94806144842719</v>
      </c>
      <c r="E40" s="146">
        <f>_xll.Spline('Cp Calcs'!$A$18:$A$38,'Cp Calcs'!$D$18:$D$38,Bulkheads!B40,TRUE)/(2*T40*U40)</f>
        <v>0.79704437804848982</v>
      </c>
      <c r="F40" s="147">
        <f t="shared" si="6"/>
        <v>20.910610859423571</v>
      </c>
      <c r="G40" s="148">
        <f>_xll.Spline(Sections!$A$31:$A$50,Sections!$T$31:$T$50,Bulkheads!C40,TRUE)</f>
        <v>1.7512762740252528</v>
      </c>
      <c r="H40" s="206"/>
      <c r="I40" s="252">
        <f t="shared" si="2"/>
        <v>0.79704437804848982</v>
      </c>
      <c r="J40" s="253">
        <f>IF(_xll.Spline(Sections!$A$31:$A$50,Sections!$G$31:$G$50,Bulkheads!C40,TRUE)&lt;0,0,_xll.Spline(Sections!$A$31:$A$50,Sections!$G$31:$G$50,Bulkheads!C40,TRUE))</f>
        <v>0.38207508177540705</v>
      </c>
      <c r="K40" s="254">
        <f t="shared" si="3"/>
        <v>32.706396101651315</v>
      </c>
      <c r="L40" s="252">
        <f t="shared" si="7"/>
        <v>0.79466411421761995</v>
      </c>
      <c r="M40" s="253">
        <f t="shared" si="4"/>
        <v>0.79704437804848982</v>
      </c>
      <c r="N40" s="253">
        <f t="shared" si="8"/>
        <v>0.38207508177540705</v>
      </c>
      <c r="O40" s="255">
        <f t="shared" si="9"/>
        <v>4.0041794738819086E-3</v>
      </c>
      <c r="P40" s="256">
        <f>IF(M40&lt;0.72,0,_xll.InterpMatrix('C'!$B$3:$AA$10,M40,F40))</f>
        <v>6.3979135979178444E-3</v>
      </c>
      <c r="Q40" s="255">
        <f t="shared" si="10"/>
        <v>0.62585707240326605</v>
      </c>
      <c r="R40" s="257">
        <f t="shared" si="11"/>
        <v>0.37812165153860566</v>
      </c>
      <c r="S40" s="247"/>
      <c r="T40" s="258">
        <f>_xll.Spline('Cwl Opt2 Calcs'!$A$21:$A$41,'Cwl Opt2 Calcs'!$D$21:$D$41,Bulkheads!B40,TRUE)</f>
        <v>5.4984032741352529</v>
      </c>
      <c r="U40" s="259">
        <f>Inputs!$B$6-IF(D40&lt;'Profile Calcs'!$B$23,_xll.Spline('Profile Calcs'!$B$23:$B$28,'Profile Calcs'!$C$23:$C$28,D40,TRUE),IF(D40&gt;'Profile Calcs'!$B$20,_xll.Spline('Profile Calcs'!$B$17:$B$20,'Profile Calcs'!$C$17:$C$20,D40,TRUE),0))</f>
        <v>4.8514589937413639</v>
      </c>
      <c r="V40" s="247"/>
      <c r="W40" s="250">
        <f t="shared" si="5"/>
        <v>1.7512762740252528</v>
      </c>
      <c r="X40" s="247"/>
      <c r="Y40" s="251">
        <f>90-DEGREES(ATAN('BHD Calcs'!D82/'BHD Calcs'!$D$26))</f>
        <v>1.4861315101293542</v>
      </c>
    </row>
    <row r="41" spans="2:25" x14ac:dyDescent="0.25">
      <c r="B41" s="182">
        <f t="shared" si="0"/>
        <v>0.77500000000000013</v>
      </c>
      <c r="C41" s="183">
        <f t="shared" si="1"/>
        <v>4.4999999999999964</v>
      </c>
      <c r="D41" s="187">
        <f>-(1-B41)*(Inputs!$B$3)</f>
        <v>-28.461046086320394</v>
      </c>
      <c r="E41" s="146">
        <f>_xll.Spline('Cp Calcs'!$A$18:$A$38,'Cp Calcs'!$D$18:$D$38,Bulkheads!B41,TRUE)/(2*T41*U41)</f>
        <v>0.76856217471890464</v>
      </c>
      <c r="F41" s="147">
        <f t="shared" si="6"/>
        <v>23.45896649579937</v>
      </c>
      <c r="G41" s="148">
        <f>_xll.Spline(Sections!$A$31:$A$50,Sections!$T$31:$T$50,Bulkheads!C41,TRUE)</f>
        <v>11.980847265464313</v>
      </c>
      <c r="H41" s="206"/>
      <c r="I41" s="252">
        <f t="shared" si="2"/>
        <v>0.76856217471890464</v>
      </c>
      <c r="J41" s="253">
        <f>IF(_xll.Spline(Sections!$A$31:$A$50,Sections!$G$31:$G$50,Bulkheads!C41,TRUE)&lt;0,0,_xll.Spline(Sections!$A$31:$A$50,Sections!$G$31:$G$50,Bulkheads!C41,TRUE))</f>
        <v>0.43396106981600646</v>
      </c>
      <c r="K41" s="254">
        <f t="shared" si="3"/>
        <v>4.7123753317524519</v>
      </c>
      <c r="L41" s="252">
        <f t="shared" si="7"/>
        <v>0.76397800469200305</v>
      </c>
      <c r="M41" s="253">
        <f t="shared" si="4"/>
        <v>0.76856217471890464</v>
      </c>
      <c r="N41" s="253">
        <f t="shared" si="8"/>
        <v>0.43396106981600646</v>
      </c>
      <c r="O41" s="255">
        <f t="shared" si="9"/>
        <v>6.2115156117345856E-3</v>
      </c>
      <c r="P41" s="256">
        <f>IF(M41&lt;0.72,0,_xll.InterpMatrix('C'!$B$3:$AA$10,M41,F41))</f>
        <v>1.0741648976993003E-2</v>
      </c>
      <c r="Q41" s="255">
        <f t="shared" si="10"/>
        <v>0.57826462445744764</v>
      </c>
      <c r="R41" s="257">
        <f t="shared" si="11"/>
        <v>0.42788087832065735</v>
      </c>
      <c r="S41" s="247"/>
      <c r="T41" s="258">
        <f>_xll.Spline('Cwl Opt2 Calcs'!$A$21:$A$41,'Cwl Opt2 Calcs'!$D$21:$D$41,Bulkheads!B41,TRUE)</f>
        <v>4.2509249294209637</v>
      </c>
      <c r="U41" s="259">
        <f>Inputs!$B$6-IF(D41&lt;'Profile Calcs'!$B$23,_xll.Spline('Profile Calcs'!$B$23:$B$28,'Profile Calcs'!$C$23:$C$28,D41,TRUE),IF(D41&gt;'Profile Calcs'!$B$20,_xll.Spline('Profile Calcs'!$B$17:$B$20,'Profile Calcs'!$C$17:$C$20,D41,TRUE),0))</f>
        <v>4.8514589937413639</v>
      </c>
      <c r="V41" s="247"/>
      <c r="W41" s="250">
        <f t="shared" si="5"/>
        <v>11.980847265464313</v>
      </c>
      <c r="X41" s="247"/>
      <c r="Y41" s="251">
        <f>90-DEGREES(ATAN('BHD Calcs'!D88/'BHD Calcs'!$D$26))</f>
        <v>2.0232241055927886</v>
      </c>
    </row>
    <row r="42" spans="2:25" x14ac:dyDescent="0.25">
      <c r="B42" s="182">
        <f>B43-0.075</f>
        <v>0.85000000000000009</v>
      </c>
      <c r="C42" s="183">
        <f t="shared" si="1"/>
        <v>3</v>
      </c>
      <c r="D42" s="187">
        <f>-(1-B42)*(Inputs!$B$3)</f>
        <v>-18.974030724213595</v>
      </c>
      <c r="E42" s="146">
        <f>_xll.Spline('Cp Calcs'!$A$18:$A$38,'Cp Calcs'!$D$18:$D$38,Bulkheads!B42,TRUE)/(2*T42*U42)</f>
        <v>0.69372516376141768</v>
      </c>
      <c r="F42" s="147">
        <f t="shared" si="6"/>
        <v>21.351537351515862</v>
      </c>
      <c r="G42" s="148">
        <f>_xll.Spline(Sections!$A$31:$A$50,Sections!$T$31:$T$50,Bulkheads!C42,TRUE)</f>
        <v>72.392092148085126</v>
      </c>
      <c r="H42" s="206"/>
      <c r="I42" s="252">
        <f t="shared" si="2"/>
        <v>0.69372516376141768</v>
      </c>
      <c r="J42" s="253">
        <f>IF(_xll.Spline(Sections!$A$31:$A$50,Sections!$G$31:$G$50,Bulkheads!C42,TRUE)&lt;0,0,_xll.Spline(Sections!$A$31:$A$50,Sections!$G$31:$G$50,Bulkheads!C42,TRUE))</f>
        <v>0.39092030006452949</v>
      </c>
      <c r="K42" s="254">
        <f t="shared" si="3"/>
        <v>0.31737059872946433</v>
      </c>
      <c r="L42" s="252" t="e">
        <f t="shared" si="7"/>
        <v>#DIV/0!</v>
      </c>
      <c r="M42" s="253">
        <f t="shared" si="4"/>
        <v>0.69372516376141768</v>
      </c>
      <c r="N42" s="253">
        <f t="shared" si="8"/>
        <v>0.39092030006452949</v>
      </c>
      <c r="O42" s="255">
        <f t="shared" si="9"/>
        <v>0</v>
      </c>
      <c r="P42" s="256">
        <f>IF(M42&lt;0.72,0,_xll.InterpMatrix('C'!$B$3:$AA$10,M42,F42))</f>
        <v>0</v>
      </c>
      <c r="Q42" s="255">
        <f t="shared" si="10"/>
        <v>0.60907969993547051</v>
      </c>
      <c r="R42" s="257">
        <f t="shared" si="11"/>
        <v>0.39092030006452949</v>
      </c>
      <c r="S42" s="247"/>
      <c r="T42" s="258">
        <f>_xll.Spline('Cwl Opt2 Calcs'!$A$21:$A$41,'Cwl Opt2 Calcs'!$D$21:$D$41,Bulkheads!B42,TRUE)</f>
        <v>2.9076057554137011</v>
      </c>
      <c r="U42" s="259">
        <f>Inputs!$B$6-IF(D42&lt;'Profile Calcs'!$B$23,_xll.Spline('Profile Calcs'!$B$23:$B$28,'Profile Calcs'!$C$23:$C$28,D42,TRUE),IF(D42&gt;'Profile Calcs'!$B$20,_xll.Spline('Profile Calcs'!$B$17:$B$20,'Profile Calcs'!$C$17:$C$20,D42,TRUE),0))</f>
        <v>4.8514589937413639</v>
      </c>
      <c r="V42" s="247"/>
      <c r="W42" s="250">
        <f t="shared" si="5"/>
        <v>72.392092148085126</v>
      </c>
      <c r="X42" s="247"/>
      <c r="Y42" s="251">
        <f>90-DEGREES(ATAN('BHD Calcs'!D94/'BHD Calcs'!$D$26))</f>
        <v>0.93461231240077325</v>
      </c>
    </row>
    <row r="43" spans="2:25" x14ac:dyDescent="0.25">
      <c r="B43" s="182">
        <f>1-0.075</f>
        <v>0.92500000000000004</v>
      </c>
      <c r="C43" s="183">
        <f t="shared" si="1"/>
        <v>1.5</v>
      </c>
      <c r="D43" s="187">
        <f>-(1-B43)*(Inputs!$B$3)</f>
        <v>-9.4870153621067974</v>
      </c>
      <c r="E43" s="149">
        <f>_xll.Spline('Cp Calcs'!$A$18:$A$38,'Cp Calcs'!$D$18:$D$38,Bulkheads!B43,TRUE)/(2*T43*U43)</f>
        <v>0.53402777321233064</v>
      </c>
      <c r="F43" s="150">
        <f t="shared" si="6"/>
        <v>14.296091611234276</v>
      </c>
      <c r="G43" s="151">
        <f>_xll.Spline(Sections!$A$31:$A$50,Sections!$T$31:$T$50,Bulkheads!C43,TRUE)</f>
        <v>90.956107786831041</v>
      </c>
      <c r="H43" s="207"/>
      <c r="I43" s="260">
        <f t="shared" si="2"/>
        <v>0.53402777321233064</v>
      </c>
      <c r="J43" s="261">
        <f>IF(_xll.Spline(Sections!$A$31:$A$50,Sections!$G$31:$G$50,Bulkheads!C43,TRUE)&lt;0,0,_xll.Spline(Sections!$A$31:$A$50,Sections!$G$31:$G$50,Bulkheads!C43,TRUE))</f>
        <v>0.25482415872201292</v>
      </c>
      <c r="K43" s="262">
        <f t="shared" si="3"/>
        <v>-1.6688777985358505E-2</v>
      </c>
      <c r="L43" s="260" t="e">
        <f t="shared" si="7"/>
        <v>#DIV/0!</v>
      </c>
      <c r="M43" s="261">
        <f t="shared" si="4"/>
        <v>0.53402777321233064</v>
      </c>
      <c r="N43" s="261">
        <f t="shared" si="8"/>
        <v>0.25482415872201292</v>
      </c>
      <c r="O43" s="263">
        <f t="shared" si="9"/>
        <v>0</v>
      </c>
      <c r="P43" s="264">
        <f>IF(M43&lt;0.72,0,_xll.InterpMatrix('C'!$B$3:$AA$10,M43,F43))</f>
        <v>0</v>
      </c>
      <c r="Q43" s="263">
        <f t="shared" si="10"/>
        <v>0.74517584127798708</v>
      </c>
      <c r="R43" s="265">
        <f t="shared" si="11"/>
        <v>0.25482415872201292</v>
      </c>
      <c r="S43" s="247"/>
      <c r="T43" s="266">
        <f>_xll.Spline('Cwl Opt2 Calcs'!$A$21:$A$41,'Cwl Opt2 Calcs'!$D$21:$D$41,Bulkheads!B43,TRUE)</f>
        <v>1.5614345987677578</v>
      </c>
      <c r="U43" s="267">
        <f>Inputs!$B$6-IF(D43&lt;'Profile Calcs'!$B$23,_xll.Spline('Profile Calcs'!$B$23:$B$28,'Profile Calcs'!$C$23:$C$28,D43,TRUE),IF(D43&gt;'Profile Calcs'!$B$20,_xll.Spline('Profile Calcs'!$B$17:$B$20,'Profile Calcs'!$C$17:$C$20,D43,TRUE),0))</f>
        <v>4.8514589937413639</v>
      </c>
      <c r="V43" s="247"/>
      <c r="W43" s="250">
        <f t="shared" si="5"/>
        <v>90.956107786831041</v>
      </c>
      <c r="X43" s="247"/>
      <c r="Y43" s="251">
        <f>90-DEGREES(ATAN('BHD Calcs'!D99/'BHD Calcs'!$D$26))</f>
        <v>0.76622333272950982</v>
      </c>
    </row>
    <row r="44" spans="2:25" x14ac:dyDescent="0.25"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</row>
  </sheetData>
  <phoneticPr fontId="12" type="noConversion"/>
  <conditionalFormatting sqref="M31:M43">
    <cfRule type="cellIs" dxfId="2" priority="1" stopIfTrue="1" operator="greaterThan">
      <formula>0.72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8:AD57"/>
  <sheetViews>
    <sheetView zoomScale="85" zoomScaleNormal="85" workbookViewId="0">
      <selection activeCell="B26" sqref="B26"/>
    </sheetView>
  </sheetViews>
  <sheetFormatPr defaultRowHeight="15" x14ac:dyDescent="0.25"/>
  <cols>
    <col min="1" max="1" width="4.7109375" bestFit="1" customWidth="1"/>
    <col min="2" max="2" width="15.5703125" bestFit="1" customWidth="1"/>
    <col min="3" max="4" width="6" bestFit="1" customWidth="1"/>
    <col min="5" max="5" width="7.42578125" bestFit="1" customWidth="1"/>
    <col min="6" max="6" width="8.42578125" bestFit="1" customWidth="1"/>
    <col min="7" max="8" width="6.5703125" bestFit="1" customWidth="1"/>
    <col min="9" max="9" width="7.42578125" bestFit="1" customWidth="1"/>
    <col min="10" max="10" width="8.42578125" bestFit="1" customWidth="1"/>
    <col min="11" max="11" width="6.5703125" bestFit="1" customWidth="1"/>
    <col min="12" max="12" width="7" bestFit="1" customWidth="1"/>
    <col min="13" max="13" width="6.5703125" bestFit="1" customWidth="1"/>
    <col min="14" max="14" width="12" bestFit="1" customWidth="1"/>
    <col min="15" max="22" width="7.140625" customWidth="1"/>
  </cols>
  <sheetData>
    <row r="18" spans="1:17" x14ac:dyDescent="0.25">
      <c r="A18" s="22" t="s">
        <v>244</v>
      </c>
      <c r="B18" s="239" t="s">
        <v>243</v>
      </c>
      <c r="C18" s="240" t="s">
        <v>242</v>
      </c>
      <c r="D18" s="294" t="s">
        <v>248</v>
      </c>
      <c r="E18" s="295"/>
      <c r="F18" s="296"/>
      <c r="G18" s="179"/>
      <c r="H18" s="294" t="s">
        <v>251</v>
      </c>
      <c r="I18" s="295"/>
      <c r="J18" s="296"/>
      <c r="K18" s="179"/>
      <c r="M18" s="297" t="s">
        <v>245</v>
      </c>
      <c r="N18" s="298"/>
    </row>
    <row r="19" spans="1:17" x14ac:dyDescent="0.25">
      <c r="A19" s="22"/>
      <c r="B19" s="43" t="s">
        <v>246</v>
      </c>
      <c r="C19" s="44"/>
      <c r="D19" s="43" t="s">
        <v>247</v>
      </c>
      <c r="E19" s="173" t="s">
        <v>88</v>
      </c>
      <c r="F19" s="174" t="s">
        <v>249</v>
      </c>
      <c r="G19" s="180" t="s">
        <v>252</v>
      </c>
      <c r="H19" s="43" t="s">
        <v>247</v>
      </c>
      <c r="I19" s="173" t="s">
        <v>88</v>
      </c>
      <c r="J19" s="174" t="s">
        <v>249</v>
      </c>
      <c r="K19" s="180" t="s">
        <v>252</v>
      </c>
      <c r="M19" s="177">
        <v>0</v>
      </c>
      <c r="N19" s="174" t="s">
        <v>49</v>
      </c>
      <c r="P19" s="173"/>
      <c r="Q19" s="173"/>
    </row>
    <row r="20" spans="1:17" x14ac:dyDescent="0.25">
      <c r="A20" s="22"/>
      <c r="B20" s="172" t="s">
        <v>125</v>
      </c>
      <c r="C20" s="48" t="s">
        <v>124</v>
      </c>
      <c r="D20" s="172"/>
      <c r="E20" s="48" t="s">
        <v>250</v>
      </c>
      <c r="F20" s="175" t="s">
        <v>125</v>
      </c>
      <c r="G20" s="181" t="s">
        <v>253</v>
      </c>
      <c r="H20" s="172"/>
      <c r="I20" s="48" t="s">
        <v>250</v>
      </c>
      <c r="J20" s="175" t="s">
        <v>125</v>
      </c>
      <c r="K20" s="181" t="s">
        <v>253</v>
      </c>
      <c r="M20" s="177">
        <v>1</v>
      </c>
      <c r="N20" s="174" t="s">
        <v>66</v>
      </c>
      <c r="Q20" s="83"/>
    </row>
    <row r="21" spans="1:17" x14ac:dyDescent="0.25">
      <c r="A21" s="22">
        <v>1</v>
      </c>
      <c r="B21" s="273">
        <v>1.5</v>
      </c>
      <c r="C21" s="197">
        <v>0</v>
      </c>
      <c r="D21" s="269">
        <v>0</v>
      </c>
      <c r="E21" s="269">
        <v>0.5</v>
      </c>
      <c r="F21" s="269">
        <v>0</v>
      </c>
      <c r="G21">
        <f>F21/Profile!$Q$19</f>
        <v>0</v>
      </c>
      <c r="H21" s="270">
        <v>2</v>
      </c>
      <c r="I21" s="269">
        <v>0.5</v>
      </c>
      <c r="J21" s="269">
        <v>0</v>
      </c>
      <c r="K21" s="83">
        <f>J21/Profile!$O$19</f>
        <v>0</v>
      </c>
      <c r="M21" s="178">
        <v>2</v>
      </c>
      <c r="N21" s="176" t="s">
        <v>67</v>
      </c>
      <c r="P21" s="271">
        <f>B21</f>
        <v>1.5</v>
      </c>
      <c r="Q21" s="272" t="s">
        <v>112</v>
      </c>
    </row>
    <row r="22" spans="1:17" x14ac:dyDescent="0.25">
      <c r="A22" s="22">
        <v>2</v>
      </c>
      <c r="B22" s="273">
        <v>4</v>
      </c>
      <c r="C22" s="197">
        <v>0</v>
      </c>
      <c r="D22" s="269">
        <v>0</v>
      </c>
      <c r="E22" s="269">
        <v>0.5</v>
      </c>
      <c r="F22" s="269">
        <v>0</v>
      </c>
      <c r="G22">
        <f>F22/Profile!$Q$19</f>
        <v>0</v>
      </c>
      <c r="H22" s="270">
        <v>2</v>
      </c>
      <c r="I22" s="269">
        <v>0.5</v>
      </c>
      <c r="J22" s="269">
        <f>J26*0.2</f>
        <v>0</v>
      </c>
      <c r="K22" s="83">
        <f>J22/Profile!$O$19</f>
        <v>0</v>
      </c>
      <c r="M22" s="83"/>
      <c r="N22" s="83"/>
      <c r="O22" s="83"/>
      <c r="P22" s="271">
        <f t="shared" ref="P22:P26" si="0">B22</f>
        <v>4</v>
      </c>
      <c r="Q22" s="272" t="s">
        <v>112</v>
      </c>
    </row>
    <row r="23" spans="1:17" x14ac:dyDescent="0.25">
      <c r="A23" s="22">
        <v>3</v>
      </c>
      <c r="B23" s="273">
        <v>6.5</v>
      </c>
      <c r="C23" s="197">
        <v>0</v>
      </c>
      <c r="D23" s="269">
        <v>0</v>
      </c>
      <c r="E23" s="269">
        <v>0.5</v>
      </c>
      <c r="F23" s="269">
        <v>0</v>
      </c>
      <c r="G23">
        <f>F23/Profile!$Q$19</f>
        <v>0</v>
      </c>
      <c r="H23" s="270">
        <v>2</v>
      </c>
      <c r="I23" s="269">
        <v>0.5</v>
      </c>
      <c r="J23" s="269">
        <f>J26*0.4</f>
        <v>0</v>
      </c>
      <c r="K23" s="83">
        <f>J23/Profile!$O$19</f>
        <v>0</v>
      </c>
      <c r="M23" s="83"/>
      <c r="N23" s="83"/>
      <c r="O23" s="83"/>
      <c r="P23" s="271">
        <f t="shared" si="0"/>
        <v>6.5</v>
      </c>
      <c r="Q23" s="272" t="s">
        <v>112</v>
      </c>
    </row>
    <row r="24" spans="1:17" x14ac:dyDescent="0.25">
      <c r="A24" s="22">
        <v>4</v>
      </c>
      <c r="B24" s="273">
        <v>9</v>
      </c>
      <c r="C24" s="197">
        <v>0</v>
      </c>
      <c r="D24" s="269">
        <v>0</v>
      </c>
      <c r="E24" s="269">
        <v>0.5</v>
      </c>
      <c r="F24" s="269">
        <v>0</v>
      </c>
      <c r="G24">
        <f>F24/Profile!$Q$19</f>
        <v>0</v>
      </c>
      <c r="H24" s="270">
        <v>2</v>
      </c>
      <c r="I24" s="269">
        <v>0.5</v>
      </c>
      <c r="J24" s="269">
        <f>J26*0.6</f>
        <v>0</v>
      </c>
      <c r="K24" s="83">
        <f>J24/Profile!$O$19</f>
        <v>0</v>
      </c>
      <c r="N24" s="173"/>
      <c r="O24" s="83"/>
      <c r="P24" s="271">
        <f t="shared" si="0"/>
        <v>9</v>
      </c>
      <c r="Q24" s="272" t="s">
        <v>112</v>
      </c>
    </row>
    <row r="25" spans="1:17" x14ac:dyDescent="0.25">
      <c r="A25" s="22">
        <v>5</v>
      </c>
      <c r="B25" s="273">
        <v>11.5</v>
      </c>
      <c r="C25" s="197">
        <v>0</v>
      </c>
      <c r="D25" s="269">
        <v>0</v>
      </c>
      <c r="E25" s="269">
        <v>0.5</v>
      </c>
      <c r="F25" s="269">
        <v>0</v>
      </c>
      <c r="G25">
        <f>F25/Profile!$Q$19</f>
        <v>0</v>
      </c>
      <c r="H25" s="270">
        <v>2</v>
      </c>
      <c r="I25" s="269">
        <v>0.5</v>
      </c>
      <c r="J25" s="269">
        <f>J27*0.6</f>
        <v>0</v>
      </c>
      <c r="K25" s="83">
        <f>J25/Profile!$O$19</f>
        <v>0</v>
      </c>
      <c r="L25" s="83"/>
      <c r="M25" s="83"/>
      <c r="N25" s="173"/>
      <c r="O25" s="83"/>
      <c r="P25" s="271">
        <f t="shared" si="0"/>
        <v>11.5</v>
      </c>
      <c r="Q25" s="272" t="s">
        <v>112</v>
      </c>
    </row>
    <row r="26" spans="1:17" x14ac:dyDescent="0.25">
      <c r="A26" s="22">
        <v>6</v>
      </c>
      <c r="B26" s="273">
        <f>Inputs!B5</f>
        <v>8.9612289685442565</v>
      </c>
      <c r="C26" s="197">
        <v>0</v>
      </c>
      <c r="D26" s="269">
        <v>0</v>
      </c>
      <c r="E26" s="269">
        <v>0.5</v>
      </c>
      <c r="F26" s="269">
        <v>0</v>
      </c>
      <c r="G26">
        <f>F26/Profile!$Q$19</f>
        <v>0</v>
      </c>
      <c r="H26" s="270">
        <v>2</v>
      </c>
      <c r="I26" s="269">
        <v>0.5</v>
      </c>
      <c r="J26" s="269">
        <f>J28*0.6</f>
        <v>0</v>
      </c>
      <c r="K26" s="83">
        <f>J26/Profile!$O$19</f>
        <v>0</v>
      </c>
      <c r="L26" s="83"/>
      <c r="P26" s="271">
        <f t="shared" si="0"/>
        <v>8.9612289685442565</v>
      </c>
      <c r="Q26" s="272" t="s">
        <v>112</v>
      </c>
    </row>
    <row r="27" spans="1:17" x14ac:dyDescent="0.25">
      <c r="A27" s="22"/>
      <c r="B27" s="22"/>
      <c r="C27" s="22"/>
      <c r="D27" s="22"/>
      <c r="E27" s="22"/>
      <c r="F27" s="83"/>
      <c r="G27" s="83"/>
      <c r="H27" s="83"/>
      <c r="I27" s="83"/>
      <c r="J27" s="83"/>
      <c r="K27" s="83"/>
      <c r="L27" s="83"/>
    </row>
    <row r="35" spans="1:30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P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P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P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P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P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P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P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3" spans="1:30" x14ac:dyDescent="0.2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P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30" x14ac:dyDescent="0.25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P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30" x14ac:dyDescent="0.2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P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30" x14ac:dyDescent="0.2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P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30" x14ac:dyDescent="0.2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P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30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P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50" spans="16:16" x14ac:dyDescent="0.25">
      <c r="P50" s="13"/>
    </row>
    <row r="51" spans="16:16" x14ac:dyDescent="0.25">
      <c r="P51" s="13"/>
    </row>
    <row r="52" spans="16:16" x14ac:dyDescent="0.25">
      <c r="P52" s="13"/>
    </row>
    <row r="53" spans="16:16" x14ac:dyDescent="0.25">
      <c r="P53" s="13"/>
    </row>
    <row r="54" spans="16:16" x14ac:dyDescent="0.25">
      <c r="P54" s="13"/>
    </row>
    <row r="55" spans="16:16" x14ac:dyDescent="0.25">
      <c r="P55" s="13"/>
    </row>
    <row r="56" spans="16:16" x14ac:dyDescent="0.25">
      <c r="P56" s="13"/>
    </row>
    <row r="57" spans="16:16" x14ac:dyDescent="0.25">
      <c r="P57" s="13"/>
    </row>
  </sheetData>
  <mergeCells count="3">
    <mergeCell ref="D18:F18"/>
    <mergeCell ref="H18:J18"/>
    <mergeCell ref="M18:N1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7"/>
  <sheetViews>
    <sheetView workbookViewId="0">
      <selection activeCell="B22" sqref="B22"/>
    </sheetView>
  </sheetViews>
  <sheetFormatPr defaultRowHeight="15" x14ac:dyDescent="0.25"/>
  <cols>
    <col min="3" max="3" width="14.5703125" bestFit="1" customWidth="1"/>
  </cols>
  <sheetData>
    <row r="1" spans="1:1" x14ac:dyDescent="0.25">
      <c r="A1" s="220" t="s">
        <v>305</v>
      </c>
    </row>
    <row r="24" spans="1:12" x14ac:dyDescent="0.25">
      <c r="B24" t="s">
        <v>306</v>
      </c>
      <c r="C24">
        <f>Inputs!B3</f>
        <v>126.49353816142404</v>
      </c>
      <c r="F24" t="s">
        <v>263</v>
      </c>
      <c r="H24" s="13">
        <f>'Fbd Calcs'!C16</f>
        <v>11.106997639199751</v>
      </c>
    </row>
    <row r="26" spans="1:12" x14ac:dyDescent="0.25">
      <c r="A26" s="220" t="s">
        <v>307</v>
      </c>
      <c r="F26" s="16"/>
      <c r="G26" s="16"/>
    </row>
    <row r="27" spans="1:12" x14ac:dyDescent="0.25">
      <c r="A27" t="s">
        <v>308</v>
      </c>
      <c r="B27" s="209">
        <f>'Fbd Calcs'!B20/'Fbd Calcs'!B21</f>
        <v>26.073298429319372</v>
      </c>
      <c r="F27" s="16"/>
      <c r="G27" s="16"/>
    </row>
    <row r="28" spans="1:12" x14ac:dyDescent="0.25">
      <c r="C28" s="16" t="s">
        <v>122</v>
      </c>
      <c r="D28" s="16" t="s">
        <v>287</v>
      </c>
      <c r="F28" s="16" t="s">
        <v>309</v>
      </c>
      <c r="G28" s="16"/>
    </row>
    <row r="29" spans="1:12" x14ac:dyDescent="0.25">
      <c r="B29" s="16" t="s">
        <v>282</v>
      </c>
      <c r="C29" s="209">
        <f>'Fbd Calcs'!I23</f>
        <v>8.6260998044021431</v>
      </c>
      <c r="D29" s="209">
        <f>'Fbd Calcs'!J23</f>
        <v>6.6690144748028946</v>
      </c>
      <c r="F29" s="220" t="str">
        <f>'Fbd Calcs'!L23</f>
        <v>Inadequate FB0 per Walden &amp; Grundmann</v>
      </c>
      <c r="G29" s="16"/>
      <c r="I29" s="209"/>
    </row>
    <row r="30" spans="1:12" x14ac:dyDescent="0.25">
      <c r="B30" s="16" t="s">
        <v>283</v>
      </c>
      <c r="C30" s="209">
        <f>'Fbd Calcs'!I24</f>
        <v>8.5455365735564097</v>
      </c>
      <c r="D30" s="209">
        <f>'Fbd Calcs'!J24</f>
        <v>5.5991097263665122</v>
      </c>
      <c r="F30" s="220" t="str">
        <f>'Fbd Calcs'!L24</f>
        <v>Inadequate FB1.5 per Walden &amp; Grundmann</v>
      </c>
      <c r="G30" s="16"/>
      <c r="I30" s="209"/>
      <c r="J30" s="16"/>
    </row>
    <row r="31" spans="1:12" x14ac:dyDescent="0.25">
      <c r="B31" s="16" t="s">
        <v>284</v>
      </c>
      <c r="C31" s="209">
        <f>'Fbd Calcs'!I25</f>
        <v>4.5410505585203422</v>
      </c>
      <c r="D31" s="209">
        <f>'Fbd Calcs'!J25</f>
        <v>4.3398268552754793</v>
      </c>
      <c r="F31" s="220" t="str">
        <f>'Fbd Calcs'!L25</f>
        <v>Inadequate FB6 per Walden &amp; Grundmann</v>
      </c>
      <c r="G31" s="209"/>
      <c r="I31" s="209"/>
      <c r="J31" s="209"/>
      <c r="L31" s="218"/>
    </row>
    <row r="32" spans="1:12" x14ac:dyDescent="0.25">
      <c r="B32" s="209"/>
      <c r="C32" s="16"/>
      <c r="D32" s="16"/>
      <c r="F32" s="217"/>
      <c r="G32" s="209"/>
      <c r="I32" s="209"/>
      <c r="J32" s="209"/>
      <c r="L32" s="218"/>
    </row>
    <row r="33" spans="1:12" x14ac:dyDescent="0.25">
      <c r="A33" s="220" t="s">
        <v>310</v>
      </c>
      <c r="B33" s="16"/>
      <c r="C33" s="16"/>
      <c r="D33" s="16"/>
      <c r="F33" s="217"/>
      <c r="G33" s="209"/>
      <c r="I33" s="209"/>
      <c r="J33" s="209"/>
      <c r="L33" s="218"/>
    </row>
    <row r="34" spans="1:12" x14ac:dyDescent="0.25">
      <c r="B34" s="16"/>
      <c r="C34" s="16" t="s">
        <v>122</v>
      </c>
      <c r="D34" s="16" t="s">
        <v>287</v>
      </c>
      <c r="F34" s="16" t="s">
        <v>309</v>
      </c>
      <c r="G34" s="16"/>
      <c r="L34" s="218"/>
    </row>
    <row r="35" spans="1:12" x14ac:dyDescent="0.25">
      <c r="B35" s="16" t="s">
        <v>282</v>
      </c>
      <c r="C35" s="209">
        <f>'Fbd Calcs'!I28</f>
        <v>8.0917036637680511</v>
      </c>
      <c r="D35" s="209">
        <f>'Fbd Calcs'!J28</f>
        <v>6.6690144748028946</v>
      </c>
      <c r="F35" s="221" t="str">
        <f>'Fbd Calcs'!L28</f>
        <v>Inadequate FB0 per Gale</v>
      </c>
      <c r="G35" s="16"/>
      <c r="J35" s="16"/>
      <c r="L35" s="218"/>
    </row>
    <row r="36" spans="1:12" x14ac:dyDescent="0.25">
      <c r="B36" s="16"/>
      <c r="C36" s="16"/>
      <c r="D36" s="16"/>
      <c r="F36" s="16"/>
      <c r="G36" s="16"/>
      <c r="I36" s="209"/>
      <c r="J36" s="209"/>
      <c r="L36" s="218"/>
    </row>
    <row r="37" spans="1:12" x14ac:dyDescent="0.25">
      <c r="A37" s="220" t="s">
        <v>314</v>
      </c>
      <c r="B37" s="16"/>
      <c r="C37" s="16"/>
      <c r="D37" s="16"/>
      <c r="F37" s="16"/>
      <c r="G37" s="16"/>
      <c r="L37" s="218"/>
    </row>
    <row r="38" spans="1:12" x14ac:dyDescent="0.25">
      <c r="B38" s="16"/>
      <c r="C38" s="16" t="s">
        <v>122</v>
      </c>
      <c r="D38" s="16" t="s">
        <v>287</v>
      </c>
      <c r="F38" s="16"/>
      <c r="G38" s="16"/>
      <c r="I38" s="209"/>
      <c r="J38" s="209"/>
      <c r="L38" s="218"/>
    </row>
    <row r="39" spans="1:12" x14ac:dyDescent="0.25">
      <c r="B39" s="16" t="s">
        <v>282</v>
      </c>
      <c r="C39" s="209">
        <f>'Fbd Calcs'!I32</f>
        <v>11.832080021908673</v>
      </c>
      <c r="D39" s="209">
        <f>'Fbd Calcs'!J32</f>
        <v>6.6690144748028946</v>
      </c>
      <c r="E39" s="13"/>
      <c r="F39" s="221" t="str">
        <f>'Fbd Calcs'!L32</f>
        <v>Inadequate FB0 per Bales</v>
      </c>
      <c r="G39" s="16"/>
      <c r="J39" s="16"/>
      <c r="L39" s="218"/>
    </row>
    <row r="40" spans="1:12" x14ac:dyDescent="0.25">
      <c r="F40" s="16"/>
      <c r="G40" s="16"/>
      <c r="J40" s="16"/>
      <c r="L40" s="218"/>
    </row>
    <row r="41" spans="1:12" x14ac:dyDescent="0.25">
      <c r="A41" s="220" t="s">
        <v>315</v>
      </c>
      <c r="F41" s="16"/>
      <c r="G41" s="16"/>
    </row>
    <row r="42" spans="1:12" x14ac:dyDescent="0.25">
      <c r="A42" s="16" t="s">
        <v>311</v>
      </c>
      <c r="B42" t="s">
        <v>312</v>
      </c>
      <c r="F42" s="16"/>
      <c r="G42" s="16"/>
    </row>
    <row r="43" spans="1:12" x14ac:dyDescent="0.25">
      <c r="F43" s="16"/>
      <c r="G43" s="16"/>
    </row>
    <row r="44" spans="1:12" x14ac:dyDescent="0.25">
      <c r="A44" s="222" t="s">
        <v>313</v>
      </c>
      <c r="B44" s="209">
        <f>'Fbd Calcs'!B50</f>
        <v>4.3614683284694404</v>
      </c>
      <c r="F44" s="16"/>
      <c r="G44" s="16"/>
    </row>
    <row r="45" spans="1:12" x14ac:dyDescent="0.25">
      <c r="B45" s="217"/>
      <c r="F45" s="16"/>
      <c r="G45" s="16"/>
    </row>
    <row r="46" spans="1:12" x14ac:dyDescent="0.25">
      <c r="B46" s="217"/>
      <c r="F46" s="16"/>
      <c r="G46" s="16"/>
    </row>
    <row r="47" spans="1:12" x14ac:dyDescent="0.25">
      <c r="B47" s="217"/>
      <c r="F47" s="16"/>
      <c r="G47" s="16"/>
    </row>
    <row r="48" spans="1:12" x14ac:dyDescent="0.25">
      <c r="B48" s="217"/>
      <c r="F48" s="16"/>
      <c r="G48" s="16"/>
    </row>
    <row r="49" spans="2:7" x14ac:dyDescent="0.25">
      <c r="B49" s="217"/>
      <c r="F49" s="16"/>
      <c r="G49" s="16"/>
    </row>
    <row r="50" spans="2:7" x14ac:dyDescent="0.25">
      <c r="B50" s="217"/>
      <c r="F50" s="16"/>
      <c r="G50" s="16"/>
    </row>
    <row r="51" spans="2:7" x14ac:dyDescent="0.25">
      <c r="B51" s="217"/>
      <c r="F51" s="16"/>
      <c r="G51" s="16"/>
    </row>
    <row r="52" spans="2:7" x14ac:dyDescent="0.25">
      <c r="B52" s="217"/>
      <c r="F52" s="16"/>
      <c r="G52" s="16"/>
    </row>
    <row r="53" spans="2:7" x14ac:dyDescent="0.25">
      <c r="F53" s="16"/>
      <c r="G53" s="16"/>
    </row>
    <row r="54" spans="2:7" x14ac:dyDescent="0.25">
      <c r="B54" s="219"/>
      <c r="F54" s="16"/>
      <c r="G54" s="16"/>
    </row>
    <row r="55" spans="2:7" x14ac:dyDescent="0.25">
      <c r="F55" s="16"/>
      <c r="G55" s="16"/>
    </row>
    <row r="56" spans="2:7" x14ac:dyDescent="0.25">
      <c r="F56" s="16"/>
      <c r="G56" s="16"/>
    </row>
    <row r="57" spans="2:7" x14ac:dyDescent="0.25">
      <c r="F57" s="16"/>
      <c r="G57" s="16"/>
    </row>
  </sheetData>
  <phoneticPr fontId="12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5"/>
  <sheetViews>
    <sheetView zoomScaleNormal="100" workbookViewId="0">
      <selection activeCell="B22" sqref="B22"/>
    </sheetView>
  </sheetViews>
  <sheetFormatPr defaultRowHeight="15" x14ac:dyDescent="0.25"/>
  <cols>
    <col min="1" max="1" width="14" bestFit="1" customWidth="1"/>
    <col min="2" max="2" width="12" bestFit="1" customWidth="1"/>
    <col min="3" max="3" width="16.7109375" bestFit="1" customWidth="1"/>
    <col min="6" max="6" width="12" bestFit="1" customWidth="1"/>
    <col min="11" max="11" width="12.7109375" bestFit="1" customWidth="1"/>
    <col min="18" max="19" width="9.28515625" bestFit="1" customWidth="1"/>
  </cols>
  <sheetData>
    <row r="1" spans="1:22" x14ac:dyDescent="0.25">
      <c r="A1" t="s">
        <v>35</v>
      </c>
      <c r="B1" s="15">
        <f>-Profile!B16</f>
        <v>-126.49353816142404</v>
      </c>
      <c r="C1" s="13">
        <f>Profile!B18</f>
        <v>4.8514589937413639</v>
      </c>
    </row>
    <row r="2" spans="1:22" x14ac:dyDescent="0.25">
      <c r="B2">
        <v>0</v>
      </c>
      <c r="C2" s="13">
        <f>Profile!B18</f>
        <v>4.8514589937413639</v>
      </c>
      <c r="F2">
        <f>Profile!L15</f>
        <v>3</v>
      </c>
      <c r="G2">
        <v>0</v>
      </c>
      <c r="H2">
        <v>1</v>
      </c>
      <c r="I2">
        <v>2</v>
      </c>
      <c r="J2">
        <v>3</v>
      </c>
      <c r="K2">
        <v>4</v>
      </c>
      <c r="L2">
        <v>5</v>
      </c>
      <c r="P2">
        <f>Profile!L15</f>
        <v>3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</row>
    <row r="3" spans="1:22" x14ac:dyDescent="0.25">
      <c r="C3" s="13"/>
      <c r="E3">
        <v>2</v>
      </c>
      <c r="F3" s="13">
        <f t="shared" ref="F3:F10" si="0">HLOOKUP($F$2,$G$2:$L$10,E3)</f>
        <v>-3.3970281587329967</v>
      </c>
      <c r="G3">
        <v>0</v>
      </c>
      <c r="H3">
        <v>0</v>
      </c>
      <c r="I3">
        <v>0</v>
      </c>
      <c r="J3" s="15">
        <f>IF(Profile!$H$20=0,'Profile Calcs'!B20,B22)</f>
        <v>-3.3970281587329967</v>
      </c>
      <c r="K3">
        <v>0</v>
      </c>
      <c r="L3">
        <v>0</v>
      </c>
      <c r="P3" s="13">
        <f t="shared" ref="P3:P10" si="1">HLOOKUP($F$2,$Q$2:$V$10,E3)</f>
        <v>0</v>
      </c>
      <c r="Q3">
        <v>0</v>
      </c>
      <c r="R3">
        <v>0</v>
      </c>
      <c r="S3">
        <v>0</v>
      </c>
      <c r="T3" s="15">
        <f>C22</f>
        <v>0</v>
      </c>
      <c r="U3">
        <v>0</v>
      </c>
      <c r="V3">
        <v>0</v>
      </c>
    </row>
    <row r="4" spans="1:22" x14ac:dyDescent="0.25">
      <c r="B4" t="s">
        <v>36</v>
      </c>
      <c r="E4">
        <v>3</v>
      </c>
      <c r="F4" s="13">
        <f t="shared" si="0"/>
        <v>-3.3970281587329967</v>
      </c>
      <c r="G4">
        <v>0</v>
      </c>
      <c r="H4">
        <v>0</v>
      </c>
      <c r="I4">
        <v>0</v>
      </c>
      <c r="J4" s="15">
        <f>J3+0</f>
        <v>-3.3970281587329967</v>
      </c>
      <c r="K4">
        <v>0</v>
      </c>
      <c r="L4">
        <v>0</v>
      </c>
      <c r="P4" s="13">
        <f t="shared" si="1"/>
        <v>0</v>
      </c>
      <c r="Q4">
        <v>0</v>
      </c>
      <c r="R4">
        <v>0</v>
      </c>
      <c r="S4">
        <v>0</v>
      </c>
      <c r="T4" s="15">
        <f>T3+0</f>
        <v>0</v>
      </c>
      <c r="U4">
        <v>0</v>
      </c>
      <c r="V4">
        <v>0</v>
      </c>
    </row>
    <row r="5" spans="1:22" x14ac:dyDescent="0.25">
      <c r="B5" s="16" t="s">
        <v>26</v>
      </c>
      <c r="C5" s="16" t="s">
        <v>20</v>
      </c>
      <c r="E5">
        <v>4</v>
      </c>
      <c r="F5" s="13">
        <f t="shared" si="0"/>
        <v>-3.3970281587329967</v>
      </c>
      <c r="G5">
        <v>0</v>
      </c>
      <c r="H5">
        <v>0</v>
      </c>
      <c r="I5">
        <v>0</v>
      </c>
      <c r="J5" s="15">
        <f>J3+0</f>
        <v>-3.3970281587329967</v>
      </c>
      <c r="K5">
        <v>0</v>
      </c>
      <c r="L5">
        <v>0</v>
      </c>
      <c r="P5" s="13">
        <f t="shared" si="1"/>
        <v>-1.0114000000000001</v>
      </c>
      <c r="Q5">
        <v>0</v>
      </c>
      <c r="R5">
        <v>0</v>
      </c>
      <c r="S5">
        <v>0</v>
      </c>
      <c r="T5" s="20">
        <f>T3-1.0114</f>
        <v>-1.0114000000000001</v>
      </c>
      <c r="U5">
        <v>0</v>
      </c>
      <c r="V5">
        <v>0</v>
      </c>
    </row>
    <row r="6" spans="1:22" x14ac:dyDescent="0.25">
      <c r="A6" s="22">
        <v>0</v>
      </c>
      <c r="B6" s="19">
        <f>-Profile!B16/2</f>
        <v>-63.246769080712021</v>
      </c>
      <c r="C6" s="19">
        <f t="shared" ref="C6:C16" si="2">M13+L13</f>
        <v>8.9612289685442565</v>
      </c>
      <c r="E6">
        <v>5</v>
      </c>
      <c r="F6" s="13">
        <f t="shared" si="0"/>
        <v>-5.3970281587329971</v>
      </c>
      <c r="G6">
        <v>0</v>
      </c>
      <c r="H6">
        <v>0</v>
      </c>
      <c r="I6">
        <v>0</v>
      </c>
      <c r="J6" s="15">
        <f>J3+-2</f>
        <v>-5.3970281587329971</v>
      </c>
      <c r="K6">
        <v>0</v>
      </c>
      <c r="L6">
        <v>0</v>
      </c>
      <c r="P6" s="13">
        <f t="shared" si="1"/>
        <v>-3.0114000000000001</v>
      </c>
      <c r="Q6">
        <v>0</v>
      </c>
      <c r="R6">
        <v>0</v>
      </c>
      <c r="S6">
        <v>0</v>
      </c>
      <c r="T6" s="20">
        <f>T3-3.0114</f>
        <v>-3.0114000000000001</v>
      </c>
      <c r="U6">
        <v>0</v>
      </c>
      <c r="V6">
        <v>0</v>
      </c>
    </row>
    <row r="7" spans="1:22" x14ac:dyDescent="0.25">
      <c r="A7" s="24" t="s">
        <v>70</v>
      </c>
      <c r="B7" s="17">
        <f t="shared" ref="B7:B15" si="3">K14</f>
        <v>-56.413057398900058</v>
      </c>
      <c r="C7" s="19">
        <f t="shared" si="2"/>
        <v>8.992473468544258</v>
      </c>
      <c r="E7">
        <v>6</v>
      </c>
      <c r="F7" s="13">
        <f t="shared" si="0"/>
        <v>-8.434428158732997</v>
      </c>
      <c r="G7">
        <v>0</v>
      </c>
      <c r="H7">
        <v>0</v>
      </c>
      <c r="I7">
        <v>0</v>
      </c>
      <c r="J7" s="13">
        <f>J3+-5.0374</f>
        <v>-8.434428158732997</v>
      </c>
      <c r="K7">
        <v>0</v>
      </c>
      <c r="L7">
        <v>0</v>
      </c>
      <c r="P7" s="13">
        <f t="shared" si="1"/>
        <v>-3.0114000000000001</v>
      </c>
      <c r="Q7">
        <v>0</v>
      </c>
      <c r="R7">
        <v>0</v>
      </c>
      <c r="S7">
        <v>0</v>
      </c>
      <c r="T7" s="20">
        <f>T3-3.0114</f>
        <v>-3.0114000000000001</v>
      </c>
      <c r="U7">
        <v>0</v>
      </c>
      <c r="V7">
        <v>0</v>
      </c>
    </row>
    <row r="8" spans="1:22" x14ac:dyDescent="0.25">
      <c r="A8" s="24" t="s">
        <v>71</v>
      </c>
      <c r="B8" s="17">
        <f t="shared" si="3"/>
        <v>-49.579345717088096</v>
      </c>
      <c r="C8" s="19">
        <f t="shared" si="2"/>
        <v>9.0869969685442573</v>
      </c>
      <c r="E8">
        <v>7</v>
      </c>
      <c r="F8" s="13">
        <f t="shared" si="0"/>
        <v>-9.3240281587329967</v>
      </c>
      <c r="G8">
        <v>0</v>
      </c>
      <c r="H8">
        <v>0</v>
      </c>
      <c r="I8">
        <v>0</v>
      </c>
      <c r="J8" s="13">
        <f>J3+-5.927</f>
        <v>-9.3240281587329967</v>
      </c>
      <c r="K8">
        <v>0</v>
      </c>
      <c r="L8">
        <v>0</v>
      </c>
      <c r="P8" s="13">
        <f t="shared" si="1"/>
        <v>-2.9316</v>
      </c>
      <c r="Q8">
        <v>0</v>
      </c>
      <c r="R8">
        <v>0</v>
      </c>
      <c r="S8">
        <v>0</v>
      </c>
      <c r="T8" s="20">
        <f>T3-2.9316</f>
        <v>-2.9316</v>
      </c>
      <c r="U8">
        <v>0</v>
      </c>
      <c r="V8">
        <v>0</v>
      </c>
    </row>
    <row r="9" spans="1:22" x14ac:dyDescent="0.25">
      <c r="A9" s="24" t="s">
        <v>72</v>
      </c>
      <c r="B9" s="17">
        <f t="shared" si="3"/>
        <v>-42.745634035276133</v>
      </c>
      <c r="C9" s="19">
        <f>M16+L16</f>
        <v>9.244799468544258</v>
      </c>
      <c r="E9">
        <v>8</v>
      </c>
      <c r="F9" s="13">
        <f t="shared" si="0"/>
        <v>-19.117628158732995</v>
      </c>
      <c r="G9">
        <v>0</v>
      </c>
      <c r="H9">
        <v>0</v>
      </c>
      <c r="I9">
        <v>0</v>
      </c>
      <c r="J9" s="13">
        <f>J3+-15.7206</f>
        <v>-19.117628158732995</v>
      </c>
      <c r="K9">
        <v>0</v>
      </c>
      <c r="L9">
        <v>0</v>
      </c>
      <c r="P9" s="13">
        <f t="shared" si="1"/>
        <v>-1.1608000000000001</v>
      </c>
      <c r="Q9">
        <v>0</v>
      </c>
      <c r="R9">
        <v>0</v>
      </c>
      <c r="S9">
        <v>0</v>
      </c>
      <c r="T9" s="20">
        <f>T3-1.1608</f>
        <v>-1.1608000000000001</v>
      </c>
      <c r="U9">
        <v>0</v>
      </c>
      <c r="V9">
        <v>0</v>
      </c>
    </row>
    <row r="10" spans="1:22" x14ac:dyDescent="0.25">
      <c r="A10" s="24" t="s">
        <v>73</v>
      </c>
      <c r="B10" s="17">
        <f t="shared" si="3"/>
        <v>-35.91192235346417</v>
      </c>
      <c r="C10" s="19">
        <f t="shared" si="2"/>
        <v>9.4658809685442566</v>
      </c>
      <c r="E10">
        <v>9</v>
      </c>
      <c r="F10" s="13">
        <f t="shared" si="0"/>
        <v>-19.866528158732997</v>
      </c>
      <c r="G10">
        <v>0</v>
      </c>
      <c r="H10">
        <v>0</v>
      </c>
      <c r="I10">
        <v>0</v>
      </c>
      <c r="J10" s="13">
        <f>J3+-16.4695</f>
        <v>-19.866528158732997</v>
      </c>
      <c r="K10">
        <v>0</v>
      </c>
      <c r="L10">
        <v>0</v>
      </c>
      <c r="P10" s="13">
        <f t="shared" si="1"/>
        <v>0</v>
      </c>
      <c r="Q10">
        <v>0</v>
      </c>
      <c r="R10">
        <v>0</v>
      </c>
      <c r="S10">
        <v>0</v>
      </c>
      <c r="T10" s="15">
        <f>T3+0</f>
        <v>0</v>
      </c>
      <c r="U10">
        <v>0</v>
      </c>
      <c r="V10">
        <v>0</v>
      </c>
    </row>
    <row r="11" spans="1:22" x14ac:dyDescent="0.25">
      <c r="A11" s="24" t="s">
        <v>74</v>
      </c>
      <c r="B11" s="17">
        <f t="shared" si="3"/>
        <v>-29.078210671652208</v>
      </c>
      <c r="C11" s="19">
        <f t="shared" si="2"/>
        <v>9.7502414685442567</v>
      </c>
    </row>
    <row r="12" spans="1:22" x14ac:dyDescent="0.25">
      <c r="A12" s="24" t="s">
        <v>75</v>
      </c>
      <c r="B12" s="17">
        <f t="shared" si="3"/>
        <v>-22.244498989840245</v>
      </c>
      <c r="C12" s="19">
        <f t="shared" si="2"/>
        <v>10.097880968544258</v>
      </c>
      <c r="G12" s="12">
        <f>Profile!O15</f>
        <v>2</v>
      </c>
      <c r="H12">
        <v>0</v>
      </c>
      <c r="I12">
        <v>1</v>
      </c>
      <c r="J12">
        <v>2</v>
      </c>
      <c r="P12" s="12">
        <f>Profile!Q15</f>
        <v>2</v>
      </c>
      <c r="Q12">
        <v>0</v>
      </c>
      <c r="R12">
        <v>1</v>
      </c>
      <c r="S12">
        <v>2</v>
      </c>
    </row>
    <row r="13" spans="1:22" x14ac:dyDescent="0.25">
      <c r="A13" s="24" t="s">
        <v>76</v>
      </c>
      <c r="B13" s="17">
        <f t="shared" si="3"/>
        <v>-15.410787308028283</v>
      </c>
      <c r="C13" s="19">
        <f t="shared" si="2"/>
        <v>10.508799468544256</v>
      </c>
      <c r="E13">
        <v>1</v>
      </c>
      <c r="F13" s="13">
        <f>(E13-1)/20+0.5</f>
        <v>0.5</v>
      </c>
      <c r="G13" s="13">
        <f>HLOOKUP($G$12,$H$12:$J$23,E13+1)</f>
        <v>0</v>
      </c>
      <c r="H13">
        <v>0</v>
      </c>
      <c r="I13" s="15">
        <v>0</v>
      </c>
      <c r="J13" s="13">
        <v>0</v>
      </c>
      <c r="K13" s="13">
        <f>T39</f>
        <v>-63.246769080712021</v>
      </c>
      <c r="L13" s="13">
        <f>G13*Profile!$O$19</f>
        <v>0</v>
      </c>
      <c r="M13" s="13">
        <f>Profile!B17</f>
        <v>8.9612289685442565</v>
      </c>
      <c r="P13" s="13">
        <f t="shared" ref="P13:P23" si="4">HLOOKUP($P$12,$Q$12:$S$23,E13+1)</f>
        <v>1.3877787807814457E-16</v>
      </c>
      <c r="Q13">
        <v>0</v>
      </c>
      <c r="R13" s="13">
        <f>0</f>
        <v>0</v>
      </c>
      <c r="S13" s="13">
        <f t="shared" ref="S13:S23" si="5">(0.801*(F13)^2-0.8015*(F13)+0.2005)/0.2</f>
        <v>1.3877787807814457E-16</v>
      </c>
      <c r="T13" s="13">
        <f>T40</f>
        <v>-63.246769080712021</v>
      </c>
      <c r="U13" s="13">
        <f>P13*Profile!$Q$19</f>
        <v>6.9388939039072284E-17</v>
      </c>
      <c r="V13" s="13">
        <f>Profile!B17</f>
        <v>8.9612289685442565</v>
      </c>
    </row>
    <row r="14" spans="1:22" x14ac:dyDescent="0.25">
      <c r="A14" s="24" t="s">
        <v>77</v>
      </c>
      <c r="B14" s="17">
        <f t="shared" si="3"/>
        <v>-8.5770756262163204</v>
      </c>
      <c r="C14" s="19">
        <f t="shared" si="2"/>
        <v>10.982996968544258</v>
      </c>
      <c r="E14">
        <v>2</v>
      </c>
      <c r="F14" s="13">
        <f t="shared" ref="F14:F23" si="6">(E14-1)/20+0.5</f>
        <v>0.55000000000000004</v>
      </c>
      <c r="G14" s="13">
        <f t="shared" ref="G14:G23" si="7">HLOOKUP($G$12,$H$12:$J$23,E14+1)</f>
        <v>9.8875000000002433E-3</v>
      </c>
      <c r="H14">
        <v>0</v>
      </c>
      <c r="I14">
        <v>0.1</v>
      </c>
      <c r="J14" s="13">
        <f t="shared" ref="J14:J22" si="8">(0.801*(F14)^2-0.8015*(F14)+0.2005)/0.2</f>
        <v>9.8875000000002433E-3</v>
      </c>
      <c r="K14" s="13">
        <f t="shared" ref="K14:K22" si="9">K13+($K$23-$K$13)/10</f>
        <v>-56.413057398900058</v>
      </c>
      <c r="L14" s="13">
        <f>G14*Profile!$O$19</f>
        <v>3.1244500000000772E-2</v>
      </c>
      <c r="M14" s="13">
        <f t="shared" ref="M14:M22" si="10">M13+($M$23-$M$13)/10</f>
        <v>8.9612289685442565</v>
      </c>
      <c r="P14" s="13">
        <f t="shared" si="4"/>
        <v>9.8875000000002433E-3</v>
      </c>
      <c r="Q14">
        <v>0</v>
      </c>
      <c r="R14" s="13">
        <f>0.1</f>
        <v>0.1</v>
      </c>
      <c r="S14" s="13">
        <f t="shared" si="5"/>
        <v>9.8875000000002433E-3</v>
      </c>
      <c r="T14" s="13">
        <f t="shared" ref="T14:T22" si="11">T13+($T$23-$T$13)/10</f>
        <v>-69.669429674376602</v>
      </c>
      <c r="U14" s="13">
        <f>P14*Profile!$Q$19</f>
        <v>4.9437500000001217E-3</v>
      </c>
      <c r="V14" s="13">
        <f t="shared" ref="V14:V22" si="12">V13+($V$23-$V$13)/10</f>
        <v>9.0112289685442573</v>
      </c>
    </row>
    <row r="15" spans="1:22" x14ac:dyDescent="0.25">
      <c r="A15" s="24" t="s">
        <v>78</v>
      </c>
      <c r="B15" s="17">
        <f t="shared" si="3"/>
        <v>-1.7433639444043578</v>
      </c>
      <c r="C15" s="19">
        <f t="shared" si="2"/>
        <v>11.520473468544258</v>
      </c>
      <c r="E15">
        <v>3</v>
      </c>
      <c r="F15" s="13">
        <f t="shared" si="6"/>
        <v>0.6</v>
      </c>
      <c r="G15" s="13">
        <f t="shared" si="7"/>
        <v>3.9800000000000113E-2</v>
      </c>
      <c r="H15">
        <v>0</v>
      </c>
      <c r="I15">
        <v>0.2</v>
      </c>
      <c r="J15" s="13">
        <f t="shared" si="8"/>
        <v>3.9800000000000113E-2</v>
      </c>
      <c r="K15" s="13">
        <f t="shared" si="9"/>
        <v>-49.579345717088096</v>
      </c>
      <c r="L15" s="13">
        <f>G15*Profile!$O$19</f>
        <v>0.12576800000000035</v>
      </c>
      <c r="M15" s="13">
        <f t="shared" si="10"/>
        <v>8.9612289685442565</v>
      </c>
      <c r="P15" s="13">
        <f t="shared" si="4"/>
        <v>3.9800000000000113E-2</v>
      </c>
      <c r="Q15">
        <v>0</v>
      </c>
      <c r="R15" s="13">
        <f>0.2</f>
        <v>0.2</v>
      </c>
      <c r="S15" s="13">
        <f t="shared" si="5"/>
        <v>3.9800000000000113E-2</v>
      </c>
      <c r="T15" s="13">
        <f t="shared" si="11"/>
        <v>-76.092090268041176</v>
      </c>
      <c r="U15" s="13">
        <f>P15*Profile!$Q$19</f>
        <v>1.9900000000000057E-2</v>
      </c>
      <c r="V15" s="13">
        <f t="shared" si="12"/>
        <v>9.061228968544258</v>
      </c>
    </row>
    <row r="16" spans="1:22" x14ac:dyDescent="0.25">
      <c r="A16" s="22">
        <v>1</v>
      </c>
      <c r="B16" s="17">
        <f>T37</f>
        <v>5.0903477374075976</v>
      </c>
      <c r="C16" s="19">
        <f t="shared" si="2"/>
        <v>12.121228968544258</v>
      </c>
      <c r="E16">
        <v>4</v>
      </c>
      <c r="F16" s="13">
        <f t="shared" si="6"/>
        <v>0.65</v>
      </c>
      <c r="G16" s="13">
        <f t="shared" si="7"/>
        <v>8.9737500000000581E-2</v>
      </c>
      <c r="H16">
        <v>0</v>
      </c>
      <c r="I16">
        <v>0.3</v>
      </c>
      <c r="J16" s="13">
        <f t="shared" si="8"/>
        <v>8.9737500000000581E-2</v>
      </c>
      <c r="K16" s="13">
        <f t="shared" si="9"/>
        <v>-42.745634035276133</v>
      </c>
      <c r="L16" s="13">
        <f>G16*Profile!$O$19</f>
        <v>0.28357050000000183</v>
      </c>
      <c r="M16" s="13">
        <f t="shared" si="10"/>
        <v>8.9612289685442565</v>
      </c>
      <c r="P16" s="13">
        <f t="shared" si="4"/>
        <v>8.9737500000000581E-2</v>
      </c>
      <c r="Q16">
        <v>0</v>
      </c>
      <c r="R16" s="13">
        <f>0.3</f>
        <v>0.3</v>
      </c>
      <c r="S16" s="13">
        <f t="shared" si="5"/>
        <v>8.9737500000000581E-2</v>
      </c>
      <c r="T16" s="13">
        <f t="shared" si="11"/>
        <v>-82.51475086170575</v>
      </c>
      <c r="U16" s="13">
        <f>P16*Profile!$Q$19</f>
        <v>4.486875000000029E-2</v>
      </c>
      <c r="V16" s="13">
        <f t="shared" si="12"/>
        <v>9.1112289685442587</v>
      </c>
    </row>
    <row r="17" spans="1:24" x14ac:dyDescent="0.25">
      <c r="A17" s="22">
        <v>2</v>
      </c>
      <c r="B17" s="17">
        <v>0</v>
      </c>
      <c r="C17" s="19">
        <f>Profile!B18</f>
        <v>4.8514589937413639</v>
      </c>
      <c r="E17">
        <v>5</v>
      </c>
      <c r="F17" s="13">
        <f t="shared" si="6"/>
        <v>0.7</v>
      </c>
      <c r="G17" s="13">
        <f t="shared" si="7"/>
        <v>0.15970000000000012</v>
      </c>
      <c r="H17">
        <v>0</v>
      </c>
      <c r="I17">
        <v>0.4</v>
      </c>
      <c r="J17" s="13">
        <f t="shared" si="8"/>
        <v>0.15970000000000012</v>
      </c>
      <c r="K17" s="13">
        <f t="shared" si="9"/>
        <v>-35.91192235346417</v>
      </c>
      <c r="L17" s="13">
        <f>G17*Profile!$O$19</f>
        <v>0.50465200000000043</v>
      </c>
      <c r="M17" s="13">
        <f t="shared" si="10"/>
        <v>8.9612289685442565</v>
      </c>
      <c r="P17" s="13">
        <f t="shared" si="4"/>
        <v>0.15970000000000012</v>
      </c>
      <c r="Q17">
        <v>0</v>
      </c>
      <c r="R17" s="13">
        <f>0.4</f>
        <v>0.4</v>
      </c>
      <c r="S17" s="13">
        <f t="shared" si="5"/>
        <v>0.15970000000000012</v>
      </c>
      <c r="T17" s="13">
        <f t="shared" si="11"/>
        <v>-88.937411455370324</v>
      </c>
      <c r="U17" s="13">
        <f>P17*Profile!$Q$19</f>
        <v>7.985000000000006E-2</v>
      </c>
      <c r="V17" s="13">
        <f t="shared" si="12"/>
        <v>9.1612289685442594</v>
      </c>
    </row>
    <row r="18" spans="1:24" x14ac:dyDescent="0.25">
      <c r="A18" s="24" t="s">
        <v>40</v>
      </c>
      <c r="B18" s="19">
        <f>IF(Profile!H20=0,(B20-B17)/3,B17-(T30-T32))</f>
        <v>-1.1323427195776656</v>
      </c>
      <c r="C18" s="19">
        <f>IF(Profile!H20=0,('Profile Calcs'!C17-'Profile Calcs'!C20)*2/3,C17-(U30-U32))</f>
        <v>3.2343059958275759</v>
      </c>
      <c r="E18">
        <v>6</v>
      </c>
      <c r="F18" s="13">
        <f t="shared" si="6"/>
        <v>0.75</v>
      </c>
      <c r="G18" s="13">
        <f t="shared" si="7"/>
        <v>0.24968750000000012</v>
      </c>
      <c r="H18">
        <v>0</v>
      </c>
      <c r="I18">
        <v>0.5</v>
      </c>
      <c r="J18" s="13">
        <f t="shared" si="8"/>
        <v>0.24968750000000012</v>
      </c>
      <c r="K18" s="13">
        <f t="shared" si="9"/>
        <v>-29.078210671652208</v>
      </c>
      <c r="L18" s="13">
        <f>G18*Profile!$O$19</f>
        <v>0.78901250000000045</v>
      </c>
      <c r="M18" s="13">
        <f t="shared" si="10"/>
        <v>8.9612289685442565</v>
      </c>
      <c r="P18" s="13">
        <f t="shared" si="4"/>
        <v>0.24968750000000012</v>
      </c>
      <c r="Q18">
        <v>0</v>
      </c>
      <c r="R18" s="13">
        <f>0.5</f>
        <v>0.5</v>
      </c>
      <c r="S18" s="13">
        <f t="shared" si="5"/>
        <v>0.24968750000000012</v>
      </c>
      <c r="T18" s="13">
        <f t="shared" si="11"/>
        <v>-95.360072049034898</v>
      </c>
      <c r="U18" s="13">
        <f>P18*Profile!$Q$19</f>
        <v>0.12484375000000006</v>
      </c>
      <c r="V18" s="13">
        <f t="shared" si="12"/>
        <v>9.2112289685442601</v>
      </c>
    </row>
    <row r="19" spans="1:24" x14ac:dyDescent="0.25">
      <c r="A19" s="24" t="s">
        <v>42</v>
      </c>
      <c r="B19" s="19">
        <f>IF(Profile!H20=0,('Profile Calcs'!B20-'Profile Calcs'!B17)*2/3,$T$32+Profile!$H$20*COS(S28*PI()/180))</f>
        <v>-2.2646854391553313</v>
      </c>
      <c r="C19" s="19">
        <f>IF(Profile!H20=0,('Profile Calcs'!C17-'Profile Calcs'!C20)/3,$U$32+Profile!$H$20*SIN(S28*PI()/180))</f>
        <v>1.617152997913788</v>
      </c>
      <c r="E19">
        <v>7</v>
      </c>
      <c r="F19" s="13">
        <f t="shared" si="6"/>
        <v>0.8</v>
      </c>
      <c r="G19" s="13">
        <f t="shared" si="7"/>
        <v>0.35970000000000057</v>
      </c>
      <c r="H19">
        <v>0</v>
      </c>
      <c r="I19">
        <v>0.6</v>
      </c>
      <c r="J19" s="13">
        <f t="shared" si="8"/>
        <v>0.35970000000000057</v>
      </c>
      <c r="K19" s="13">
        <f t="shared" si="9"/>
        <v>-22.244498989840245</v>
      </c>
      <c r="L19" s="13">
        <f>G19*Profile!$O$19</f>
        <v>1.1366520000000018</v>
      </c>
      <c r="M19" s="13">
        <f t="shared" si="10"/>
        <v>8.9612289685442565</v>
      </c>
      <c r="P19" s="13">
        <f t="shared" si="4"/>
        <v>0.35970000000000057</v>
      </c>
      <c r="Q19">
        <v>0</v>
      </c>
      <c r="R19" s="13">
        <f>0.6</f>
        <v>0.6</v>
      </c>
      <c r="S19" s="13">
        <f t="shared" si="5"/>
        <v>0.35970000000000057</v>
      </c>
      <c r="T19" s="13">
        <f t="shared" si="11"/>
        <v>-101.78273264269947</v>
      </c>
      <c r="U19" s="13">
        <f>P19*Profile!$Q$19</f>
        <v>0.17985000000000029</v>
      </c>
      <c r="V19" s="13">
        <f t="shared" si="12"/>
        <v>9.2612289685442608</v>
      </c>
    </row>
    <row r="20" spans="1:24" x14ac:dyDescent="0.25">
      <c r="A20" s="22">
        <v>3</v>
      </c>
      <c r="B20" s="19">
        <f>$T$32+Profile!$H$20*COS(S29*PI()/180)</f>
        <v>-3.3970281587329967</v>
      </c>
      <c r="C20" s="19">
        <f>$U$32+Profile!$H$20*SIN(S29*PI()/180)</f>
        <v>0</v>
      </c>
      <c r="E20">
        <v>8</v>
      </c>
      <c r="F20" s="13">
        <f t="shared" si="6"/>
        <v>0.85</v>
      </c>
      <c r="G20" s="13">
        <f t="shared" si="7"/>
        <v>0.48973749999999983</v>
      </c>
      <c r="H20">
        <v>0</v>
      </c>
      <c r="I20">
        <v>0.7</v>
      </c>
      <c r="J20" s="13">
        <f t="shared" si="8"/>
        <v>0.48973749999999983</v>
      </c>
      <c r="K20" s="13">
        <f t="shared" si="9"/>
        <v>-15.410787308028283</v>
      </c>
      <c r="L20" s="13">
        <f>G20*Profile!$O$19</f>
        <v>1.5475704999999995</v>
      </c>
      <c r="M20" s="13">
        <f t="shared" si="10"/>
        <v>8.9612289685442565</v>
      </c>
      <c r="P20" s="13">
        <f t="shared" si="4"/>
        <v>0.48973749999999983</v>
      </c>
      <c r="Q20">
        <v>0</v>
      </c>
      <c r="R20" s="13">
        <f>0.7</f>
        <v>0.7</v>
      </c>
      <c r="S20" s="13">
        <f t="shared" si="5"/>
        <v>0.48973749999999983</v>
      </c>
      <c r="T20" s="13">
        <f t="shared" si="11"/>
        <v>-108.20539323636405</v>
      </c>
      <c r="U20" s="13">
        <f>P20*Profile!$Q$19</f>
        <v>0.24486874999999991</v>
      </c>
      <c r="V20" s="13">
        <f t="shared" si="12"/>
        <v>9.3112289685442615</v>
      </c>
    </row>
    <row r="21" spans="1:24" x14ac:dyDescent="0.25">
      <c r="A21" s="24" t="s">
        <v>41</v>
      </c>
      <c r="B21" s="19">
        <f>IF(Profile!H20=0,('Profile Calcs'!B23-'Profile Calcs'!B20)/3,$T$32+Profile!$H$20*COS(S30*PI()/180))</f>
        <v>-23.718351707221874</v>
      </c>
      <c r="C21" s="19">
        <f>$U$32+Profile!$H$20*SIN(S30*PI()/180)</f>
        <v>0</v>
      </c>
      <c r="E21">
        <v>9</v>
      </c>
      <c r="F21" s="13">
        <f t="shared" si="6"/>
        <v>0.9</v>
      </c>
      <c r="G21" s="13">
        <f t="shared" si="7"/>
        <v>0.63980000000000037</v>
      </c>
      <c r="H21">
        <v>0</v>
      </c>
      <c r="I21">
        <v>0.8</v>
      </c>
      <c r="J21" s="13">
        <f t="shared" si="8"/>
        <v>0.63980000000000037</v>
      </c>
      <c r="K21" s="13">
        <f t="shared" si="9"/>
        <v>-8.5770756262163204</v>
      </c>
      <c r="L21" s="13">
        <f>G21*Profile!$O$19</f>
        <v>2.0217680000000011</v>
      </c>
      <c r="M21" s="13">
        <f t="shared" si="10"/>
        <v>8.9612289685442565</v>
      </c>
      <c r="P21" s="13">
        <f t="shared" si="4"/>
        <v>0.63980000000000037</v>
      </c>
      <c r="Q21">
        <v>0</v>
      </c>
      <c r="R21" s="13">
        <f>0.8</f>
        <v>0.8</v>
      </c>
      <c r="S21" s="13">
        <f t="shared" si="5"/>
        <v>0.63980000000000037</v>
      </c>
      <c r="T21" s="13">
        <f t="shared" si="11"/>
        <v>-114.62805383002862</v>
      </c>
      <c r="U21" s="13">
        <f>P21*Profile!$Q$19</f>
        <v>0.31990000000000018</v>
      </c>
      <c r="V21" s="13">
        <f t="shared" si="12"/>
        <v>9.3612289685442622</v>
      </c>
    </row>
    <row r="22" spans="1:24" x14ac:dyDescent="0.25">
      <c r="A22" s="24" t="s">
        <v>43</v>
      </c>
      <c r="B22" s="19">
        <f>IF(Profile!H20=0,('Profile Calcs'!B23-'Profile Calcs'!B20)*2/3,T32)</f>
        <v>-47.436703414443748</v>
      </c>
      <c r="C22" s="19">
        <v>0</v>
      </c>
      <c r="E22">
        <v>10</v>
      </c>
      <c r="F22" s="13">
        <f t="shared" si="6"/>
        <v>0.95</v>
      </c>
      <c r="G22" s="13">
        <f t="shared" si="7"/>
        <v>0.80988750000000054</v>
      </c>
      <c r="H22">
        <v>0</v>
      </c>
      <c r="I22">
        <v>0.9</v>
      </c>
      <c r="J22" s="13">
        <f t="shared" si="8"/>
        <v>0.80988750000000054</v>
      </c>
      <c r="K22" s="13">
        <f t="shared" si="9"/>
        <v>-1.7433639444043578</v>
      </c>
      <c r="L22" s="13">
        <f>G22*Profile!$O$19</f>
        <v>2.5592445000000019</v>
      </c>
      <c r="M22" s="13">
        <f t="shared" si="10"/>
        <v>8.9612289685442565</v>
      </c>
      <c r="P22" s="13">
        <f t="shared" si="4"/>
        <v>0.80988750000000054</v>
      </c>
      <c r="Q22">
        <v>0</v>
      </c>
      <c r="R22" s="13">
        <f>0.9</f>
        <v>0.9</v>
      </c>
      <c r="S22" s="13">
        <f t="shared" si="5"/>
        <v>0.80988750000000054</v>
      </c>
      <c r="T22" s="13">
        <f t="shared" si="11"/>
        <v>-121.05071442369319</v>
      </c>
      <c r="U22" s="13">
        <f>P22*Profile!$Q$19</f>
        <v>0.40494375000000027</v>
      </c>
      <c r="V22" s="13">
        <f t="shared" si="12"/>
        <v>9.4112289685442629</v>
      </c>
    </row>
    <row r="23" spans="1:24" x14ac:dyDescent="0.25">
      <c r="A23" s="24" t="s">
        <v>50</v>
      </c>
      <c r="B23" s="19">
        <f>T34</f>
        <v>-74.55208328039862</v>
      </c>
      <c r="C23" s="19">
        <v>0</v>
      </c>
      <c r="E23">
        <v>11</v>
      </c>
      <c r="F23" s="13">
        <f t="shared" si="6"/>
        <v>1</v>
      </c>
      <c r="G23" s="13">
        <f t="shared" si="7"/>
        <v>1.0000000000000002</v>
      </c>
      <c r="H23">
        <v>0</v>
      </c>
      <c r="I23" s="15">
        <v>1</v>
      </c>
      <c r="J23" s="13">
        <f>(0.801*(F23)^2-0.8015*(F23)+0.2005)/0.2</f>
        <v>1.0000000000000002</v>
      </c>
      <c r="K23" s="13">
        <f>T37</f>
        <v>5.0903477374075976</v>
      </c>
      <c r="L23" s="13">
        <f>G23*Profile!$O$19</f>
        <v>3.160000000000001</v>
      </c>
      <c r="M23" s="13">
        <f>Q28</f>
        <v>8.9612289685442565</v>
      </c>
      <c r="P23" s="13">
        <f t="shared" si="4"/>
        <v>1.0000000000000002</v>
      </c>
      <c r="Q23">
        <v>0</v>
      </c>
      <c r="R23" s="13">
        <f>1</f>
        <v>1</v>
      </c>
      <c r="S23" s="13">
        <f t="shared" si="5"/>
        <v>1.0000000000000002</v>
      </c>
      <c r="T23" s="13">
        <f>T38</f>
        <v>-127.47337501735782</v>
      </c>
      <c r="U23" s="13">
        <f>P23*Profile!$Q$19</f>
        <v>0.50000000000000011</v>
      </c>
      <c r="V23" s="13">
        <f>U38</f>
        <v>9.4612289685442565</v>
      </c>
    </row>
    <row r="24" spans="1:24" x14ac:dyDescent="0.25">
      <c r="A24" s="24" t="s">
        <v>51</v>
      </c>
      <c r="B24" s="19">
        <f>B23+Profile!H21*SIN(S32*PI()/180)</f>
        <v>-83.119452093876717</v>
      </c>
      <c r="C24" s="19">
        <f>U34-Profile!H21*COS(S32*PI()/180)</f>
        <v>0.12235796643017238</v>
      </c>
    </row>
    <row r="25" spans="1:24" x14ac:dyDescent="0.25">
      <c r="A25" s="24">
        <v>4</v>
      </c>
      <c r="B25" s="19">
        <f>B23+Profile!H21*SIN(S33*PI()/180)</f>
        <v>-91.679832335183647</v>
      </c>
      <c r="C25" s="19">
        <f>U34-Profile!H21*COS(S33*PI()/180)</f>
        <v>0.48933205590770967</v>
      </c>
      <c r="F25" t="s">
        <v>38</v>
      </c>
      <c r="K25" t="s">
        <v>37</v>
      </c>
      <c r="P25" t="s">
        <v>39</v>
      </c>
      <c r="S25" t="s">
        <v>63</v>
      </c>
    </row>
    <row r="26" spans="1:24" x14ac:dyDescent="0.25">
      <c r="A26" s="24" t="s">
        <v>52</v>
      </c>
      <c r="B26" s="19">
        <f>B23+Profile!H21*SIN(S34*PI()/180)</f>
        <v>-100.22624113286477</v>
      </c>
      <c r="C26" s="19">
        <f>U34-Profile!H21*COS(S34*PI()/180)</f>
        <v>1.1006229204104443</v>
      </c>
      <c r="F26" s="16" t="s">
        <v>23</v>
      </c>
      <c r="G26" s="16" t="s">
        <v>21</v>
      </c>
      <c r="H26" s="16" t="s">
        <v>22</v>
      </c>
      <c r="I26" s="16"/>
      <c r="K26" s="16" t="s">
        <v>32</v>
      </c>
      <c r="L26" s="16" t="s">
        <v>33</v>
      </c>
      <c r="M26" s="16" t="s">
        <v>34</v>
      </c>
      <c r="P26" s="16" t="s">
        <v>30</v>
      </c>
      <c r="Q26" s="16" t="s">
        <v>31</v>
      </c>
    </row>
    <row r="27" spans="1:24" x14ac:dyDescent="0.25">
      <c r="A27" s="24" t="s">
        <v>53</v>
      </c>
      <c r="B27" s="19">
        <f>B23+Profile!H21*SIN(K33*PI()/180)</f>
        <v>-108.75170701224835</v>
      </c>
      <c r="C27" s="19">
        <f>L32*B27+M32</f>
        <v>1.9557319178912849</v>
      </c>
      <c r="E27" s="22">
        <v>1</v>
      </c>
      <c r="F27" s="22">
        <f>Profile!H18</f>
        <v>0</v>
      </c>
      <c r="G27" s="22">
        <f>TAN(F27*PI()/180)</f>
        <v>0</v>
      </c>
      <c r="H27" s="19">
        <f>C6-G27*B6</f>
        <v>8.9612289685442565</v>
      </c>
      <c r="I27" s="22"/>
      <c r="J27" s="23" t="s">
        <v>54</v>
      </c>
      <c r="K27" s="22"/>
      <c r="L27" s="22"/>
      <c r="M27" s="22"/>
      <c r="N27" s="22"/>
      <c r="O27" s="23" t="s">
        <v>62</v>
      </c>
      <c r="P27" s="19">
        <f>B6</f>
        <v>-63.246769080712021</v>
      </c>
      <c r="Q27" s="19">
        <f>C6</f>
        <v>8.9612289685442565</v>
      </c>
      <c r="R27" s="22"/>
      <c r="S27" s="22">
        <f>F29-90</f>
        <v>-35</v>
      </c>
      <c r="T27" s="22"/>
      <c r="U27" s="22"/>
    </row>
    <row r="28" spans="1:24" x14ac:dyDescent="0.25">
      <c r="A28" s="22">
        <v>5</v>
      </c>
      <c r="B28" s="19">
        <f>(C28-H32)/G32</f>
        <v>-126.3061894202522</v>
      </c>
      <c r="C28" s="19">
        <f>Profile!B18-Profile!D20</f>
        <v>3.9700524650514581</v>
      </c>
      <c r="E28" s="22">
        <v>2</v>
      </c>
      <c r="F28" s="22">
        <f>90-Profile!H15</f>
        <v>55</v>
      </c>
      <c r="G28" s="27">
        <f>TAN(F28*PI()/180)</f>
        <v>1.4281480067421144</v>
      </c>
      <c r="H28" s="19">
        <f>Profile!B18</f>
        <v>4.8514589937413639</v>
      </c>
      <c r="I28" s="22"/>
      <c r="J28" s="23" t="s">
        <v>55</v>
      </c>
      <c r="K28" s="22">
        <f>F29</f>
        <v>55</v>
      </c>
      <c r="L28" s="22">
        <f>G29</f>
        <v>1.4281480067421144</v>
      </c>
      <c r="M28" s="22">
        <f>U30-L28*T30</f>
        <v>4.8514589937413639</v>
      </c>
      <c r="N28" s="22"/>
      <c r="O28" s="23" t="s">
        <v>54</v>
      </c>
      <c r="P28" s="19">
        <f>(H28-H27)/(G27-G28)</f>
        <v>2.8776919166649146</v>
      </c>
      <c r="Q28" s="19">
        <f>G27*P28+H27</f>
        <v>8.9612289685442565</v>
      </c>
      <c r="R28" s="22"/>
      <c r="S28" s="22">
        <f>(S27-45)/2</f>
        <v>-40</v>
      </c>
      <c r="T28" s="22"/>
      <c r="U28" s="22"/>
    </row>
    <row r="29" spans="1:24" x14ac:dyDescent="0.25">
      <c r="A29" s="22">
        <v>6</v>
      </c>
      <c r="B29" s="17">
        <f>-Profile!B16</f>
        <v>-126.49353816142404</v>
      </c>
      <c r="C29" s="19">
        <f>Profile!B18</f>
        <v>4.8514589937413639</v>
      </c>
      <c r="E29" s="22">
        <v>3</v>
      </c>
      <c r="F29" s="22">
        <f>90-Profile!H16</f>
        <v>55</v>
      </c>
      <c r="G29" s="27">
        <f>TAN(F29*PI()/180)</f>
        <v>1.4281480067421144</v>
      </c>
      <c r="H29" s="19">
        <f>Profile!B18</f>
        <v>4.8514589937413639</v>
      </c>
      <c r="I29" s="22"/>
      <c r="J29" s="23" t="s">
        <v>56</v>
      </c>
      <c r="K29" s="22"/>
      <c r="L29" s="22"/>
      <c r="M29" s="22"/>
      <c r="N29" s="22"/>
      <c r="O29" s="23" t="s">
        <v>55</v>
      </c>
      <c r="P29" s="19">
        <f>B17</f>
        <v>0</v>
      </c>
      <c r="Q29" s="19">
        <f>C17</f>
        <v>4.8514589937413639</v>
      </c>
      <c r="R29" s="22"/>
      <c r="S29" s="22">
        <v>-45</v>
      </c>
      <c r="T29" s="22"/>
      <c r="U29" s="22"/>
      <c r="W29" s="22"/>
      <c r="X29" s="22"/>
    </row>
    <row r="30" spans="1:24" x14ac:dyDescent="0.25">
      <c r="A30" s="22">
        <v>7</v>
      </c>
      <c r="B30" s="19">
        <f>T38</f>
        <v>-127.47337501735782</v>
      </c>
      <c r="C30" s="19">
        <f>U38</f>
        <v>9.4612289685442565</v>
      </c>
      <c r="E30" s="22">
        <v>4</v>
      </c>
      <c r="F30" s="22">
        <v>0</v>
      </c>
      <c r="G30" s="27">
        <f>TAN(F30*PI()/180)</f>
        <v>0</v>
      </c>
      <c r="H30" s="22">
        <v>0</v>
      </c>
      <c r="I30" s="22"/>
      <c r="J30" s="23" t="s">
        <v>57</v>
      </c>
      <c r="K30" s="22">
        <f>F30</f>
        <v>0</v>
      </c>
      <c r="L30" s="22">
        <f>G30</f>
        <v>0</v>
      </c>
      <c r="M30" s="22">
        <f>Profile!H20</f>
        <v>0</v>
      </c>
      <c r="N30" s="22"/>
      <c r="O30" s="23" t="s">
        <v>56</v>
      </c>
      <c r="P30" s="19">
        <f>B20</f>
        <v>-3.3970281587329967</v>
      </c>
      <c r="Q30" s="19">
        <v>0</v>
      </c>
      <c r="R30" s="22"/>
      <c r="S30" s="22">
        <f>(S29-90)/2</f>
        <v>-67.5</v>
      </c>
      <c r="T30" s="19">
        <f>B17-COS(S27*PI()/180)*Profile!H20</f>
        <v>0</v>
      </c>
      <c r="U30" s="19">
        <f>C17-SIN(S27*PI()/180)*Profile!H20</f>
        <v>4.8514589937413639</v>
      </c>
      <c r="W30" s="22"/>
      <c r="X30" s="22"/>
    </row>
    <row r="31" spans="1:24" x14ac:dyDescent="0.25">
      <c r="A31" s="24" t="s">
        <v>79</v>
      </c>
      <c r="B31" s="21">
        <f>T22</f>
        <v>-121.05071442369319</v>
      </c>
      <c r="C31" s="19">
        <f>V22</f>
        <v>9.4112289685442629</v>
      </c>
      <c r="E31" s="22">
        <v>5</v>
      </c>
      <c r="F31" s="22"/>
      <c r="G31" s="27"/>
      <c r="H31" s="19"/>
      <c r="I31" s="22"/>
      <c r="J31" s="23" t="s">
        <v>58</v>
      </c>
      <c r="K31" s="22"/>
      <c r="L31" s="22"/>
      <c r="M31" s="22"/>
      <c r="N31" s="22"/>
      <c r="O31" s="23" t="s">
        <v>57</v>
      </c>
      <c r="P31" s="19">
        <f>-Profile!H19*Profile!B16</f>
        <v>-91.707815167032422</v>
      </c>
      <c r="Q31" s="19">
        <v>0</v>
      </c>
      <c r="R31" s="22"/>
      <c r="S31" s="22"/>
      <c r="T31" s="19"/>
      <c r="U31" s="19"/>
      <c r="W31" s="22"/>
      <c r="X31" s="22"/>
    </row>
    <row r="32" spans="1:24" x14ac:dyDescent="0.25">
      <c r="A32" s="24" t="s">
        <v>80</v>
      </c>
      <c r="B32" s="21">
        <f>T21</f>
        <v>-114.62805383002862</v>
      </c>
      <c r="C32" s="19">
        <f>V21</f>
        <v>9.3612289685442622</v>
      </c>
      <c r="E32" s="22">
        <v>6</v>
      </c>
      <c r="F32" s="22">
        <f>Profile!H17+90</f>
        <v>102</v>
      </c>
      <c r="G32" s="27">
        <f>TAN(F32*PI()/180)</f>
        <v>-4.7046301094784591</v>
      </c>
      <c r="H32" s="19">
        <f>H33</f>
        <v>-590.25384929495658</v>
      </c>
      <c r="I32" s="22"/>
      <c r="J32" s="23" t="s">
        <v>59</v>
      </c>
      <c r="K32" s="22">
        <f>DEGREES(ATAN(L32))</f>
        <v>-6.5458776184285385</v>
      </c>
      <c r="L32" s="22">
        <f>(C28-Q31)/(B28-P31)</f>
        <v>-0.11474679232022006</v>
      </c>
      <c r="M32" s="22">
        <f>Q32-L32*P32</f>
        <v>-10.523177621112596</v>
      </c>
      <c r="N32" s="22"/>
      <c r="O32" s="23" t="s">
        <v>58</v>
      </c>
      <c r="P32" s="19">
        <f>B28</f>
        <v>-126.3061894202522</v>
      </c>
      <c r="Q32" s="19">
        <f>C28</f>
        <v>3.9700524650514581</v>
      </c>
      <c r="R32" s="22"/>
      <c r="S32" s="19">
        <f>K32/4</f>
        <v>-1.6364694046071346</v>
      </c>
      <c r="T32" s="19">
        <f>(U32-M28)/L28</f>
        <v>-3.3970281587329967</v>
      </c>
      <c r="U32" s="19">
        <f>M30</f>
        <v>0</v>
      </c>
      <c r="W32" s="22"/>
      <c r="X32" s="22"/>
    </row>
    <row r="33" spans="1:24" x14ac:dyDescent="0.25">
      <c r="A33" s="24" t="s">
        <v>81</v>
      </c>
      <c r="B33" s="21">
        <f>T20</f>
        <v>-108.20539323636405</v>
      </c>
      <c r="C33" s="19">
        <f>V20</f>
        <v>9.3112289685442615</v>
      </c>
      <c r="E33" s="22">
        <v>7</v>
      </c>
      <c r="F33" s="22">
        <f>F32</f>
        <v>102</v>
      </c>
      <c r="G33" s="27">
        <f>G32</f>
        <v>-4.7046301094784591</v>
      </c>
      <c r="H33" s="19">
        <f>C29-G33*B29</f>
        <v>-590.25384929495658</v>
      </c>
      <c r="I33" s="22"/>
      <c r="J33" s="23" t="s">
        <v>60</v>
      </c>
      <c r="K33" s="22">
        <f>K32</f>
        <v>-6.5458776184285385</v>
      </c>
      <c r="L33" s="22">
        <f>L32</f>
        <v>-0.11474679232022006</v>
      </c>
      <c r="M33" s="22">
        <f>M32+Profile!H21/COS(K33*PI()/180)</f>
        <v>291.44538758278435</v>
      </c>
      <c r="N33" s="22"/>
      <c r="O33" s="23" t="s">
        <v>59</v>
      </c>
      <c r="P33" s="19">
        <f>(H34-H33)/(G33-G34)</f>
        <v>-127.36709673652281</v>
      </c>
      <c r="Q33" s="19">
        <f>G34*P33+H34</f>
        <v>8.9612289685442565</v>
      </c>
      <c r="R33" s="22"/>
      <c r="S33" s="19">
        <f>K32/2</f>
        <v>-3.2729388092142693</v>
      </c>
      <c r="T33" s="19">
        <f>(-Profile!H19)*Profile!B16</f>
        <v>-91.707815167032422</v>
      </c>
      <c r="U33" s="19">
        <f>0</f>
        <v>0</v>
      </c>
      <c r="V33" s="22"/>
      <c r="W33" s="22"/>
      <c r="X33" s="22"/>
    </row>
    <row r="34" spans="1:24" x14ac:dyDescent="0.25">
      <c r="A34" s="24" t="s">
        <v>82</v>
      </c>
      <c r="B34" s="21">
        <f>T19</f>
        <v>-101.78273264269947</v>
      </c>
      <c r="C34" s="19">
        <f>V19</f>
        <v>9.2612289685442608</v>
      </c>
      <c r="E34" s="22">
        <v>1</v>
      </c>
      <c r="F34" s="22">
        <f>Profile!H18</f>
        <v>0</v>
      </c>
      <c r="G34" s="22">
        <f>TAN(F34*PI()/180)</f>
        <v>0</v>
      </c>
      <c r="H34" s="19">
        <f>C6-G27*B6</f>
        <v>8.9612289685442565</v>
      </c>
      <c r="I34" s="22"/>
      <c r="J34" s="23" t="s">
        <v>61</v>
      </c>
      <c r="K34" s="22"/>
      <c r="L34" s="22"/>
      <c r="M34" s="22"/>
      <c r="N34" s="22"/>
      <c r="O34" s="23" t="s">
        <v>60</v>
      </c>
      <c r="P34" s="19">
        <f>P27</f>
        <v>-63.246769080712021</v>
      </c>
      <c r="Q34" s="19">
        <f>Q27</f>
        <v>8.9612289685442565</v>
      </c>
      <c r="R34" s="22"/>
      <c r="S34" s="19">
        <f>K32*3/4</f>
        <v>-4.9094082138214041</v>
      </c>
      <c r="T34" s="19">
        <f>(U34-M33)/L33</f>
        <v>-74.55208328039862</v>
      </c>
      <c r="U34" s="19">
        <f>Profile!H21</f>
        <v>300</v>
      </c>
      <c r="V34" s="22"/>
      <c r="W34" s="22"/>
      <c r="X34" s="22"/>
    </row>
    <row r="35" spans="1:24" x14ac:dyDescent="0.25">
      <c r="A35" s="24" t="s">
        <v>83</v>
      </c>
      <c r="B35" s="21">
        <f>T18</f>
        <v>-95.360072049034898</v>
      </c>
      <c r="C35" s="19">
        <f>V18</f>
        <v>9.2112289685442601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/>
      <c r="P35" s="22"/>
      <c r="Q35" s="22"/>
      <c r="R35" s="22"/>
      <c r="S35" s="19">
        <f>90+K32</f>
        <v>83.454122381571466</v>
      </c>
      <c r="T35" s="19">
        <f>B28+Profile!H21*COS(S35*PI()/180)</f>
        <v>-92.106565688402469</v>
      </c>
      <c r="U35" s="19">
        <f>C28+Profile!H21*SIN(S35*PI()/180)</f>
        <v>302.0143205471602</v>
      </c>
      <c r="V35" s="22"/>
      <c r="W35" s="22"/>
      <c r="X35" s="22"/>
    </row>
    <row r="36" spans="1:24" x14ac:dyDescent="0.25">
      <c r="A36" s="24" t="s">
        <v>84</v>
      </c>
      <c r="B36" s="21">
        <f>T17</f>
        <v>-88.937411455370324</v>
      </c>
      <c r="C36" s="19">
        <f>V17</f>
        <v>9.1612289685442594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19"/>
      <c r="U36" s="19"/>
      <c r="V36" s="22"/>
      <c r="W36" s="22"/>
      <c r="X36" s="22"/>
    </row>
    <row r="37" spans="1:24" x14ac:dyDescent="0.25">
      <c r="A37" s="24" t="s">
        <v>85</v>
      </c>
      <c r="B37" s="21">
        <f>T16</f>
        <v>-82.51475086170575</v>
      </c>
      <c r="C37" s="19">
        <f>V16</f>
        <v>9.1112289685442587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19">
        <f>(U37-H28)/G28</f>
        <v>5.0903477374075976</v>
      </c>
      <c r="U37" s="19">
        <f>Q28+IF(Profile!O15=0,0,Profile!O19)</f>
        <v>12.121228968544257</v>
      </c>
      <c r="V37" s="22"/>
      <c r="W37" s="22"/>
      <c r="X37" s="22"/>
    </row>
    <row r="38" spans="1:24" x14ac:dyDescent="0.25">
      <c r="A38" s="24" t="s">
        <v>86</v>
      </c>
      <c r="B38" s="21">
        <f>T15</f>
        <v>-76.092090268041176</v>
      </c>
      <c r="C38" s="19">
        <f>V15</f>
        <v>9.061228968544258</v>
      </c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19">
        <f>(U38-H33)/G33</f>
        <v>-127.47337501735782</v>
      </c>
      <c r="U38" s="19">
        <f>Q33+IF(Profile!Q15=0,0,Profile!Q19)</f>
        <v>9.4612289685442565</v>
      </c>
      <c r="V38" s="22"/>
      <c r="W38" s="22"/>
      <c r="X38" s="22"/>
    </row>
    <row r="39" spans="1:24" x14ac:dyDescent="0.25">
      <c r="A39" s="24" t="s">
        <v>87</v>
      </c>
      <c r="B39" s="21">
        <f>T14</f>
        <v>-69.669429674376602</v>
      </c>
      <c r="C39" s="19">
        <f>V14</f>
        <v>9.0112289685442573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>
        <f>-Profile!B16*Profile!O20</f>
        <v>-63.246769080712021</v>
      </c>
      <c r="U39" s="19">
        <f>G27*T39+H27</f>
        <v>8.9612289685442565</v>
      </c>
      <c r="V39" s="22"/>
      <c r="W39" s="22"/>
      <c r="X39" s="22"/>
    </row>
    <row r="40" spans="1:24" x14ac:dyDescent="0.25">
      <c r="A40" s="22">
        <v>0</v>
      </c>
      <c r="B40" s="17">
        <f>B6</f>
        <v>-63.246769080712021</v>
      </c>
      <c r="C40" s="19">
        <f>C6</f>
        <v>8.9612289685442565</v>
      </c>
      <c r="T40" s="22">
        <f>-Profile!B16*Profile!Q20</f>
        <v>-63.246769080712021</v>
      </c>
      <c r="U40" s="19">
        <f>G27*T40+H27</f>
        <v>8.9612289685442565</v>
      </c>
      <c r="V40" s="22"/>
      <c r="W40" s="22"/>
      <c r="X40" s="22"/>
    </row>
    <row r="41" spans="1:24" x14ac:dyDescent="0.25">
      <c r="A41" s="22"/>
      <c r="B41" s="22"/>
      <c r="C41" s="22"/>
      <c r="T41" s="22"/>
      <c r="U41" s="22"/>
      <c r="V41" s="22"/>
      <c r="W41" s="22"/>
      <c r="X41" s="22"/>
    </row>
    <row r="42" spans="1:24" x14ac:dyDescent="0.25">
      <c r="A42" s="28" t="s">
        <v>89</v>
      </c>
      <c r="B42" s="28"/>
      <c r="C42" s="28"/>
      <c r="D42" s="28"/>
      <c r="E42" s="28"/>
      <c r="U42" s="22"/>
      <c r="V42" s="22"/>
      <c r="W42" s="22"/>
      <c r="X42" s="22"/>
    </row>
    <row r="43" spans="1:24" s="22" customFormat="1" x14ac:dyDescent="0.25">
      <c r="A43" s="28"/>
      <c r="B43" s="31" t="s">
        <v>36</v>
      </c>
      <c r="C43" s="28"/>
      <c r="D43" s="28"/>
      <c r="E43" s="28"/>
    </row>
    <row r="44" spans="1:24" s="22" customFormat="1" x14ac:dyDescent="0.25">
      <c r="A44" s="28"/>
      <c r="B44" s="28" t="s">
        <v>26</v>
      </c>
      <c r="C44" s="28" t="s">
        <v>20</v>
      </c>
      <c r="H44" s="23" t="s">
        <v>289</v>
      </c>
      <c r="I44" s="23" t="s">
        <v>100</v>
      </c>
      <c r="J44" s="23" t="s">
        <v>288</v>
      </c>
      <c r="K44" s="23" t="s">
        <v>265</v>
      </c>
    </row>
    <row r="45" spans="1:24" s="22" customFormat="1" x14ac:dyDescent="0.25">
      <c r="A45" s="63">
        <v>2</v>
      </c>
      <c r="B45" s="64">
        <f>'Profile Calcs'!B17</f>
        <v>0</v>
      </c>
      <c r="C45" s="65">
        <f>'Profile Calcs'!C17</f>
        <v>4.8514589937413639</v>
      </c>
      <c r="E45" s="63">
        <v>7</v>
      </c>
      <c r="F45" s="64">
        <f>'Profile Calcs'!B30</f>
        <v>-127.47337501735782</v>
      </c>
      <c r="G45" s="35">
        <f>-F45/Inputs!$B$3*20</f>
        <v>20.154922831660123</v>
      </c>
      <c r="H45" s="65">
        <f>'Profile Calcs'!C30</f>
        <v>9.4612289685442565</v>
      </c>
      <c r="I45" s="210">
        <f>Inputs!$B$6</f>
        <v>4.8514589937413639</v>
      </c>
      <c r="J45" s="211">
        <f>H45-I45</f>
        <v>4.6097699748028926</v>
      </c>
      <c r="K45" s="214">
        <f>-F45/Inputs!$B$3</f>
        <v>1.0077461415830062</v>
      </c>
    </row>
    <row r="46" spans="1:24" s="22" customFormat="1" x14ac:dyDescent="0.25">
      <c r="A46" s="66" t="s">
        <v>40</v>
      </c>
      <c r="B46" s="67">
        <f>'Profile Calcs'!B18</f>
        <v>-1.1323427195776656</v>
      </c>
      <c r="C46" s="68">
        <f>'Profile Calcs'!C18</f>
        <v>3.2343059958275759</v>
      </c>
      <c r="E46" s="66" t="s">
        <v>79</v>
      </c>
      <c r="F46" s="67">
        <f>'Profile Calcs'!B31</f>
        <v>-121.05071442369319</v>
      </c>
      <c r="G46" s="34">
        <f>-F46/Inputs!$B$3*20</f>
        <v>19.139430548494104</v>
      </c>
      <c r="H46" s="68">
        <f>'Profile Calcs'!C31</f>
        <v>9.4112289685442629</v>
      </c>
      <c r="I46" s="177">
        <f>Inputs!$B$6</f>
        <v>4.8514589937413639</v>
      </c>
      <c r="J46" s="212">
        <f t="shared" ref="J46:J65" si="13">H46-I46</f>
        <v>4.559769974802899</v>
      </c>
      <c r="K46" s="215">
        <f>-F46/Inputs!$B$3</f>
        <v>0.95697152742470515</v>
      </c>
    </row>
    <row r="47" spans="1:24" s="22" customFormat="1" x14ac:dyDescent="0.25">
      <c r="A47" s="66" t="s">
        <v>42</v>
      </c>
      <c r="B47" s="67">
        <f>'Profile Calcs'!B19</f>
        <v>-2.2646854391553313</v>
      </c>
      <c r="C47" s="68">
        <f>'Profile Calcs'!C19</f>
        <v>1.617152997913788</v>
      </c>
      <c r="E47" s="66" t="s">
        <v>80</v>
      </c>
      <c r="F47" s="67">
        <f>'Profile Calcs'!B32</f>
        <v>-114.62805383002862</v>
      </c>
      <c r="G47" s="34">
        <f>-F47/Inputs!$B$3*20</f>
        <v>18.123938265328093</v>
      </c>
      <c r="H47" s="68">
        <f>'Profile Calcs'!C32</f>
        <v>9.3612289685442622</v>
      </c>
      <c r="I47" s="177">
        <f>Inputs!$B$6</f>
        <v>4.8514589937413639</v>
      </c>
      <c r="J47" s="212">
        <f t="shared" si="13"/>
        <v>4.5097699748028983</v>
      </c>
      <c r="K47" s="215">
        <f>-F47/Inputs!$B$3</f>
        <v>0.90619691326640461</v>
      </c>
    </row>
    <row r="48" spans="1:24" s="22" customFormat="1" x14ac:dyDescent="0.25">
      <c r="A48" s="66">
        <v>3</v>
      </c>
      <c r="B48" s="67">
        <f>'Profile Calcs'!B20</f>
        <v>-3.3970281587329967</v>
      </c>
      <c r="C48" s="68">
        <f>'Profile Calcs'!C20</f>
        <v>0</v>
      </c>
      <c r="E48" s="66" t="s">
        <v>81</v>
      </c>
      <c r="F48" s="67">
        <f>'Profile Calcs'!B33</f>
        <v>-108.20539323636405</v>
      </c>
      <c r="G48" s="34">
        <f>-F48/Inputs!$B$3*20</f>
        <v>17.108445982162081</v>
      </c>
      <c r="H48" s="68">
        <f>'Profile Calcs'!C33</f>
        <v>9.3112289685442615</v>
      </c>
      <c r="I48" s="177">
        <f>Inputs!$B$6</f>
        <v>4.8514589937413639</v>
      </c>
      <c r="J48" s="212">
        <f t="shared" si="13"/>
        <v>4.4597699748028976</v>
      </c>
      <c r="K48" s="215">
        <f>-F48/Inputs!$B$3</f>
        <v>0.85542229910810397</v>
      </c>
    </row>
    <row r="49" spans="1:11" s="22" customFormat="1" x14ac:dyDescent="0.25">
      <c r="A49" s="66" t="s">
        <v>41</v>
      </c>
      <c r="B49" s="67">
        <f>'Profile Calcs'!B21</f>
        <v>-23.718351707221874</v>
      </c>
      <c r="C49" s="68">
        <f>'Profile Calcs'!C21</f>
        <v>0</v>
      </c>
      <c r="E49" s="66" t="s">
        <v>82</v>
      </c>
      <c r="F49" s="67">
        <f>'Profile Calcs'!B34</f>
        <v>-101.78273264269947</v>
      </c>
      <c r="G49" s="34">
        <f>-F49/Inputs!$B$3*20</f>
        <v>16.09295369899607</v>
      </c>
      <c r="H49" s="68">
        <f>'Profile Calcs'!C34</f>
        <v>9.2612289685442608</v>
      </c>
      <c r="I49" s="177">
        <f>Inputs!$B$6</f>
        <v>4.8514589937413639</v>
      </c>
      <c r="J49" s="212">
        <f t="shared" si="13"/>
        <v>4.4097699748028969</v>
      </c>
      <c r="K49" s="215">
        <f>-F49/Inputs!$B$3</f>
        <v>0.80464768494980343</v>
      </c>
    </row>
    <row r="50" spans="1:11" s="22" customFormat="1" x14ac:dyDescent="0.25">
      <c r="A50" s="66" t="s">
        <v>43</v>
      </c>
      <c r="B50" s="67">
        <f>'Profile Calcs'!B22</f>
        <v>-47.436703414443748</v>
      </c>
      <c r="C50" s="68">
        <f>'Profile Calcs'!C22</f>
        <v>0</v>
      </c>
      <c r="E50" s="66" t="s">
        <v>83</v>
      </c>
      <c r="F50" s="67">
        <f>'Profile Calcs'!B35</f>
        <v>-95.360072049034898</v>
      </c>
      <c r="G50" s="34">
        <f>-F50/Inputs!$B$3*20</f>
        <v>15.077461415830058</v>
      </c>
      <c r="H50" s="68">
        <f>'Profile Calcs'!C35</f>
        <v>9.2112289685442601</v>
      </c>
      <c r="I50" s="177">
        <f>Inputs!$B$6</f>
        <v>4.8514589937413639</v>
      </c>
      <c r="J50" s="212">
        <f t="shared" si="13"/>
        <v>4.3597699748028962</v>
      </c>
      <c r="K50" s="215">
        <f>-F50/Inputs!$B$3</f>
        <v>0.7538730707915029</v>
      </c>
    </row>
    <row r="51" spans="1:11" s="22" customFormat="1" x14ac:dyDescent="0.25">
      <c r="A51" s="66" t="s">
        <v>50</v>
      </c>
      <c r="B51" s="67">
        <f>'Profile Calcs'!B23</f>
        <v>-74.55208328039862</v>
      </c>
      <c r="C51" s="68">
        <f>'Profile Calcs'!C23</f>
        <v>0</v>
      </c>
      <c r="E51" s="66" t="s">
        <v>84</v>
      </c>
      <c r="F51" s="67">
        <f>'Profile Calcs'!B36</f>
        <v>-88.937411455370324</v>
      </c>
      <c r="G51" s="34">
        <f>-F51/Inputs!$B$3*20</f>
        <v>14.061969132664046</v>
      </c>
      <c r="H51" s="68">
        <f>'Profile Calcs'!C36</f>
        <v>9.1612289685442594</v>
      </c>
      <c r="I51" s="177">
        <f>Inputs!$B$6</f>
        <v>4.8514589937413639</v>
      </c>
      <c r="J51" s="212">
        <f t="shared" si="13"/>
        <v>4.3097699748028955</v>
      </c>
      <c r="K51" s="215">
        <f>-F51/Inputs!$B$3</f>
        <v>0.70309845663320236</v>
      </c>
    </row>
    <row r="52" spans="1:11" s="22" customFormat="1" x14ac:dyDescent="0.25">
      <c r="A52" s="66" t="s">
        <v>51</v>
      </c>
      <c r="B52" s="67">
        <f>'Profile Calcs'!B24</f>
        <v>-83.119452093876717</v>
      </c>
      <c r="C52" s="68">
        <f>'Profile Calcs'!C24</f>
        <v>0.12235796643017238</v>
      </c>
      <c r="E52" s="66" t="s">
        <v>85</v>
      </c>
      <c r="F52" s="67">
        <f>'Profile Calcs'!B37</f>
        <v>-82.51475086170575</v>
      </c>
      <c r="G52" s="34">
        <f>-F52/Inputs!$B$3*20</f>
        <v>13.046476849498035</v>
      </c>
      <c r="H52" s="68">
        <f>'Profile Calcs'!C37</f>
        <v>9.1112289685442587</v>
      </c>
      <c r="I52" s="177">
        <f>Inputs!$B$6</f>
        <v>4.8514589937413639</v>
      </c>
      <c r="J52" s="212">
        <f t="shared" si="13"/>
        <v>4.2597699748028948</v>
      </c>
      <c r="K52" s="215">
        <f>-F52/Inputs!$B$3</f>
        <v>0.65232384247490172</v>
      </c>
    </row>
    <row r="53" spans="1:11" s="22" customFormat="1" x14ac:dyDescent="0.25">
      <c r="A53" s="66">
        <v>4</v>
      </c>
      <c r="B53" s="67">
        <f>'Profile Calcs'!B25</f>
        <v>-91.679832335183647</v>
      </c>
      <c r="C53" s="68">
        <f>'Profile Calcs'!C25</f>
        <v>0.48933205590770967</v>
      </c>
      <c r="E53" s="66" t="s">
        <v>86</v>
      </c>
      <c r="F53" s="67">
        <f>'Profile Calcs'!B38</f>
        <v>-76.092090268041176</v>
      </c>
      <c r="G53" s="34">
        <f>-F53/Inputs!$B$3*20</f>
        <v>12.030984566332023</v>
      </c>
      <c r="H53" s="68">
        <f>'Profile Calcs'!C38</f>
        <v>9.061228968544258</v>
      </c>
      <c r="I53" s="177">
        <f>Inputs!$B$6</f>
        <v>4.8514589937413639</v>
      </c>
      <c r="J53" s="212">
        <f t="shared" si="13"/>
        <v>4.2097699748028941</v>
      </c>
      <c r="K53" s="215">
        <f>-F53/Inputs!$B$3</f>
        <v>0.60154922831660118</v>
      </c>
    </row>
    <row r="54" spans="1:11" s="22" customFormat="1" x14ac:dyDescent="0.25">
      <c r="A54" s="66" t="s">
        <v>52</v>
      </c>
      <c r="B54" s="67">
        <f>'Profile Calcs'!B26</f>
        <v>-100.22624113286477</v>
      </c>
      <c r="C54" s="68">
        <f>'Profile Calcs'!C26</f>
        <v>1.1006229204104443</v>
      </c>
      <c r="E54" s="66" t="s">
        <v>87</v>
      </c>
      <c r="F54" s="67">
        <f>'Profile Calcs'!B39</f>
        <v>-69.669429674376602</v>
      </c>
      <c r="G54" s="34">
        <f>-F54/Inputs!$B$3*20</f>
        <v>11.015492283166013</v>
      </c>
      <c r="H54" s="68">
        <f>'Profile Calcs'!C39</f>
        <v>9.0112289685442573</v>
      </c>
      <c r="I54" s="177">
        <f>Inputs!$B$6</f>
        <v>4.8514589937413639</v>
      </c>
      <c r="J54" s="212">
        <f t="shared" si="13"/>
        <v>4.1597699748028933</v>
      </c>
      <c r="K54" s="215">
        <f>-F54/Inputs!$B$3</f>
        <v>0.55077461415830065</v>
      </c>
    </row>
    <row r="55" spans="1:11" s="22" customFormat="1" x14ac:dyDescent="0.25">
      <c r="A55" s="66" t="s">
        <v>53</v>
      </c>
      <c r="B55" s="67">
        <f>'Profile Calcs'!B27</f>
        <v>-108.75170701224835</v>
      </c>
      <c r="C55" s="68">
        <f>'Profile Calcs'!C27</f>
        <v>1.9557319178912849</v>
      </c>
      <c r="E55" s="66">
        <v>0</v>
      </c>
      <c r="F55" s="67">
        <f>'Profile Calcs'!B40</f>
        <v>-63.246769080712021</v>
      </c>
      <c r="G55" s="34">
        <f>-F55/Inputs!$B$3*20</f>
        <v>10</v>
      </c>
      <c r="H55" s="68">
        <f>'Profile Calcs'!C40</f>
        <v>8.9612289685442565</v>
      </c>
      <c r="I55" s="177">
        <f>Inputs!$B$6</f>
        <v>4.8514589937413639</v>
      </c>
      <c r="J55" s="212">
        <f t="shared" si="13"/>
        <v>4.1097699748028926</v>
      </c>
      <c r="K55" s="215">
        <f>-F55/Inputs!$B$3</f>
        <v>0.5</v>
      </c>
    </row>
    <row r="56" spans="1:11" s="22" customFormat="1" x14ac:dyDescent="0.25">
      <c r="A56" s="66">
        <v>5</v>
      </c>
      <c r="B56" s="67">
        <f>'Profile Calcs'!B28</f>
        <v>-126.3061894202522</v>
      </c>
      <c r="C56" s="68">
        <f>'Profile Calcs'!C28</f>
        <v>3.9700524650514581</v>
      </c>
      <c r="E56" s="66" t="s">
        <v>70</v>
      </c>
      <c r="F56" s="67">
        <f>'Profile Calcs'!B7</f>
        <v>-56.413057398900058</v>
      </c>
      <c r="G56" s="34">
        <f>-F56/Inputs!$B$3*20</f>
        <v>8.9195160826174131</v>
      </c>
      <c r="H56" s="68">
        <f>'Profile Calcs'!C6</f>
        <v>8.9612289685442565</v>
      </c>
      <c r="I56" s="177">
        <f>Inputs!$B$6</f>
        <v>4.8514589937413639</v>
      </c>
      <c r="J56" s="212">
        <f t="shared" si="13"/>
        <v>4.1097699748028926</v>
      </c>
      <c r="K56" s="215">
        <f>-F56/Inputs!$B$3</f>
        <v>0.44597580413087062</v>
      </c>
    </row>
    <row r="57" spans="1:11" s="22" customFormat="1" x14ac:dyDescent="0.25">
      <c r="A57" s="61">
        <v>6</v>
      </c>
      <c r="B57" s="69">
        <f>'Profile Calcs'!B29</f>
        <v>-126.49353816142404</v>
      </c>
      <c r="C57" s="70">
        <f>'Profile Calcs'!C29</f>
        <v>4.8514589937413639</v>
      </c>
      <c r="E57" s="66" t="s">
        <v>71</v>
      </c>
      <c r="F57" s="67">
        <f>'Profile Calcs'!B8</f>
        <v>-49.579345717088096</v>
      </c>
      <c r="G57" s="34">
        <f>-F57/Inputs!$B$3*20</f>
        <v>7.8390321652348245</v>
      </c>
      <c r="H57" s="68">
        <f>'Profile Calcs'!C7</f>
        <v>8.992473468544258</v>
      </c>
      <c r="I57" s="177">
        <f>Inputs!$B$6</f>
        <v>4.8514589937413639</v>
      </c>
      <c r="J57" s="212">
        <f t="shared" si="13"/>
        <v>4.1410144748028941</v>
      </c>
      <c r="K57" s="215">
        <f>-F57/Inputs!$B$3</f>
        <v>0.39195160826174125</v>
      </c>
    </row>
    <row r="58" spans="1:11" s="22" customFormat="1" x14ac:dyDescent="0.25">
      <c r="A58" s="28"/>
      <c r="B58" s="28"/>
      <c r="C58" s="28"/>
      <c r="E58" s="66" t="s">
        <v>72</v>
      </c>
      <c r="F58" s="67">
        <f>'Profile Calcs'!B9</f>
        <v>-42.745634035276133</v>
      </c>
      <c r="G58" s="34">
        <f>-F58/Inputs!$B$3*20</f>
        <v>6.7585482478522385</v>
      </c>
      <c r="H58" s="68">
        <f>'Profile Calcs'!C8</f>
        <v>9.0869969685442573</v>
      </c>
      <c r="I58" s="177">
        <f>Inputs!$B$6</f>
        <v>4.8514589937413639</v>
      </c>
      <c r="J58" s="212">
        <f t="shared" si="13"/>
        <v>4.2355379748028934</v>
      </c>
      <c r="K58" s="215">
        <f>-F58/Inputs!$B$3</f>
        <v>0.33792741239261193</v>
      </c>
    </row>
    <row r="59" spans="1:11" s="22" customFormat="1" x14ac:dyDescent="0.25">
      <c r="A59" s="63">
        <f>A57</f>
        <v>6</v>
      </c>
      <c r="B59" s="71">
        <f>1-B57/$B$57</f>
        <v>0</v>
      </c>
      <c r="C59" s="72">
        <f>1-C57/$C$57</f>
        <v>0</v>
      </c>
      <c r="E59" s="66" t="s">
        <v>73</v>
      </c>
      <c r="F59" s="67">
        <f>'Profile Calcs'!B10</f>
        <v>-35.91192235346417</v>
      </c>
      <c r="G59" s="34">
        <f>-F59/Inputs!$B$3*20</f>
        <v>5.6780643304696508</v>
      </c>
      <c r="H59" s="68">
        <f>'Profile Calcs'!C9</f>
        <v>9.244799468544258</v>
      </c>
      <c r="I59" s="177">
        <f>Inputs!$B$6</f>
        <v>4.8514589937413639</v>
      </c>
      <c r="J59" s="212">
        <f t="shared" si="13"/>
        <v>4.3933404748028941</v>
      </c>
      <c r="K59" s="215">
        <f>-F59/Inputs!$B$3</f>
        <v>0.28390321652348255</v>
      </c>
    </row>
    <row r="60" spans="1:11" s="22" customFormat="1" x14ac:dyDescent="0.25">
      <c r="A60" s="66">
        <f>A56</f>
        <v>5</v>
      </c>
      <c r="B60" s="73">
        <f>1-B56/$B$57</f>
        <v>1.4810933735821541E-3</v>
      </c>
      <c r="C60" s="74">
        <f>1-C56/$C$57</f>
        <v>0.18167865168539332</v>
      </c>
      <c r="E60" s="66" t="s">
        <v>74</v>
      </c>
      <c r="F60" s="67">
        <f>'Profile Calcs'!B11</f>
        <v>-29.078210671652208</v>
      </c>
      <c r="G60" s="34">
        <f>-F60/Inputs!$B$3*20</f>
        <v>4.5975804130870639</v>
      </c>
      <c r="H60" s="68">
        <f>'Profile Calcs'!C10</f>
        <v>9.4658809685442566</v>
      </c>
      <c r="I60" s="177">
        <f>Inputs!$B$6</f>
        <v>4.8514589937413639</v>
      </c>
      <c r="J60" s="212">
        <f t="shared" si="13"/>
        <v>4.6144219748028927</v>
      </c>
      <c r="K60" s="215">
        <f>-F60/Inputs!$B$3</f>
        <v>0.22987902065435317</v>
      </c>
    </row>
    <row r="61" spans="1:11" s="22" customFormat="1" x14ac:dyDescent="0.25">
      <c r="A61" s="66" t="str">
        <f>A55</f>
        <v>4d</v>
      </c>
      <c r="B61" s="73">
        <f>1-B55/$B$57</f>
        <v>0.14025879429931476</v>
      </c>
      <c r="C61" s="74">
        <f>1-C55/$C$57</f>
        <v>0.59687757426904331</v>
      </c>
      <c r="E61" s="66" t="s">
        <v>75</v>
      </c>
      <c r="F61" s="67">
        <f>'Profile Calcs'!B12</f>
        <v>-22.244498989840245</v>
      </c>
      <c r="G61" s="34">
        <f>-F61/Inputs!$B$3*20</f>
        <v>3.5170964957044761</v>
      </c>
      <c r="H61" s="68">
        <f>'Profile Calcs'!C11</f>
        <v>9.7502414685442567</v>
      </c>
      <c r="I61" s="177">
        <f>Inputs!$B$6</f>
        <v>4.8514589937413639</v>
      </c>
      <c r="J61" s="212">
        <f t="shared" si="13"/>
        <v>4.8987824748028928</v>
      </c>
      <c r="K61" s="215">
        <f>-F61/Inputs!$B$3</f>
        <v>0.1758548247852238</v>
      </c>
    </row>
    <row r="62" spans="1:11" s="22" customFormat="1" x14ac:dyDescent="0.25">
      <c r="A62" s="66" t="str">
        <f>A54</f>
        <v>4c</v>
      </c>
      <c r="B62" s="73">
        <f>1-B54/$B$57</f>
        <v>0.2076572243163789</v>
      </c>
      <c r="C62" s="74">
        <f>1-C54/$C$57</f>
        <v>0.77313568519690556</v>
      </c>
      <c r="E62" s="66" t="s">
        <v>76</v>
      </c>
      <c r="F62" s="67">
        <f>'Profile Calcs'!B13</f>
        <v>-15.410787308028283</v>
      </c>
      <c r="G62" s="34">
        <f>-F62/Inputs!$B$3*20</f>
        <v>2.4366125783218888</v>
      </c>
      <c r="H62" s="68">
        <f>'Profile Calcs'!C12</f>
        <v>10.097880968544258</v>
      </c>
      <c r="I62" s="177">
        <f>Inputs!$B$6</f>
        <v>4.8514589937413639</v>
      </c>
      <c r="J62" s="212">
        <f t="shared" si="13"/>
        <v>5.2464219748028942</v>
      </c>
      <c r="K62" s="215">
        <f>-F62/Inputs!$B$3</f>
        <v>0.12183062891609443</v>
      </c>
    </row>
    <row r="63" spans="1:11" s="22" customFormat="1" x14ac:dyDescent="0.25">
      <c r="A63" s="66">
        <f>A53</f>
        <v>4</v>
      </c>
      <c r="B63" s="73">
        <f>1-B53/$B$57</f>
        <v>0.27522121945717948</v>
      </c>
      <c r="C63" s="74">
        <f>1-C53/$C$57</f>
        <v>0.89913713451170596</v>
      </c>
      <c r="E63" s="66" t="s">
        <v>77</v>
      </c>
      <c r="F63" s="67">
        <f>'Profile Calcs'!B14</f>
        <v>-8.5770756262163204</v>
      </c>
      <c r="G63" s="34">
        <f>-F63/Inputs!$B$3*20</f>
        <v>1.3561286609393015</v>
      </c>
      <c r="H63" s="68">
        <f>'Profile Calcs'!C13</f>
        <v>10.508799468544256</v>
      </c>
      <c r="I63" s="177">
        <f>Inputs!$B$6</f>
        <v>4.8514589937413639</v>
      </c>
      <c r="J63" s="212">
        <f t="shared" si="13"/>
        <v>5.6573404748028917</v>
      </c>
      <c r="K63" s="215">
        <f>-F63/Inputs!$B$3</f>
        <v>6.780643304696507E-2</v>
      </c>
    </row>
    <row r="64" spans="1:11" s="22" customFormat="1" x14ac:dyDescent="0.25">
      <c r="A64" s="66" t="str">
        <f>A52</f>
        <v>4b</v>
      </c>
      <c r="B64" s="73">
        <f>1-B52/$B$57</f>
        <v>0.34289566643472114</v>
      </c>
      <c r="C64" s="74">
        <f>1-C52/$C$57</f>
        <v>0.9747791403394277</v>
      </c>
      <c r="E64" s="66" t="s">
        <v>78</v>
      </c>
      <c r="F64" s="67">
        <f>'Profile Calcs'!B15</f>
        <v>-1.7433639444043578</v>
      </c>
      <c r="G64" s="34">
        <f>-F64/Inputs!$B$3*20</f>
        <v>0.27564474355671409</v>
      </c>
      <c r="H64" s="68">
        <f>'Profile Calcs'!C14</f>
        <v>10.982996968544258</v>
      </c>
      <c r="I64" s="177">
        <f>Inputs!$B$6</f>
        <v>4.8514589937413639</v>
      </c>
      <c r="J64" s="212">
        <f t="shared" si="13"/>
        <v>6.1315379748028942</v>
      </c>
      <c r="K64" s="215">
        <f>-F64/Inputs!$B$3</f>
        <v>1.3782237177835704E-2</v>
      </c>
    </row>
    <row r="65" spans="1:11" s="22" customFormat="1" x14ac:dyDescent="0.25">
      <c r="A65" s="66" t="str">
        <f>A51</f>
        <v>4a</v>
      </c>
      <c r="B65" s="73">
        <f>1-B51/$B$57</f>
        <v>0.41062536186426069</v>
      </c>
      <c r="C65" s="74">
        <f>1-C51/$C$57</f>
        <v>1</v>
      </c>
      <c r="E65" s="61">
        <v>1</v>
      </c>
      <c r="F65" s="69">
        <f>'Profile Calcs'!B16</f>
        <v>5.0903477374075976</v>
      </c>
      <c r="G65" s="32">
        <f>-F65/Inputs!$B$3*20</f>
        <v>-0.80483917382587211</v>
      </c>
      <c r="H65" s="70">
        <f>'Profile Calcs'!C15</f>
        <v>11.520473468544258</v>
      </c>
      <c r="I65" s="178">
        <f>Inputs!$B$6</f>
        <v>4.8514589937413639</v>
      </c>
      <c r="J65" s="213">
        <f t="shared" si="13"/>
        <v>6.6690144748028946</v>
      </c>
      <c r="K65" s="216">
        <f>-F65/Inputs!$B$3</f>
        <v>-4.0241958691293607E-2</v>
      </c>
    </row>
    <row r="66" spans="1:11" s="22" customFormat="1" x14ac:dyDescent="0.25">
      <c r="A66" s="66" t="str">
        <f>A50</f>
        <v>3b</v>
      </c>
      <c r="B66" s="73">
        <f>1-B50/$B$57</f>
        <v>0.62498714081419982</v>
      </c>
      <c r="C66" s="74">
        <f>1-C50/$C$57</f>
        <v>1</v>
      </c>
    </row>
    <row r="67" spans="1:11" s="22" customFormat="1" x14ac:dyDescent="0.25">
      <c r="A67" s="66" t="str">
        <f>A49</f>
        <v>3a</v>
      </c>
      <c r="B67" s="73">
        <f>1-B49/$B$57</f>
        <v>0.81249357040709991</v>
      </c>
      <c r="C67" s="74">
        <f>1-C49/$C$57</f>
        <v>1</v>
      </c>
    </row>
    <row r="68" spans="1:11" s="22" customFormat="1" x14ac:dyDescent="0.25">
      <c r="A68" s="66">
        <f>A48</f>
        <v>3</v>
      </c>
      <c r="B68" s="73">
        <f>1-B48/$B$57</f>
        <v>0.97314465064296096</v>
      </c>
      <c r="C68" s="74">
        <f>1-C48/$C$57</f>
        <v>1</v>
      </c>
    </row>
    <row r="69" spans="1:11" s="22" customFormat="1" x14ac:dyDescent="0.25">
      <c r="A69" s="66" t="str">
        <f>A47</f>
        <v>2b</v>
      </c>
      <c r="B69" s="73">
        <f>1-B47/$B$57</f>
        <v>0.98209643376197397</v>
      </c>
      <c r="C69" s="74">
        <f>1-C47/$C$57</f>
        <v>0.66666666666666674</v>
      </c>
    </row>
    <row r="70" spans="1:11" s="22" customFormat="1" x14ac:dyDescent="0.25">
      <c r="A70" s="66" t="str">
        <f>A46</f>
        <v>2a</v>
      </c>
      <c r="B70" s="73">
        <f>1-B46/$B$57</f>
        <v>0.99104821688098699</v>
      </c>
      <c r="C70" s="74">
        <f>1-C46/$C$57</f>
        <v>0.33333333333333337</v>
      </c>
      <c r="K70" s="25"/>
    </row>
    <row r="71" spans="1:11" s="22" customFormat="1" x14ac:dyDescent="0.25">
      <c r="A71" s="61">
        <f>A45</f>
        <v>2</v>
      </c>
      <c r="B71" s="75">
        <f>1-B45/$B$57</f>
        <v>1</v>
      </c>
      <c r="C71" s="76">
        <f>1-C45/$C$57</f>
        <v>0</v>
      </c>
      <c r="K71" s="26"/>
    </row>
    <row r="72" spans="1:11" s="22" customFormat="1" x14ac:dyDescent="0.25">
      <c r="A72" s="28"/>
      <c r="B72" s="28"/>
      <c r="C72" s="28"/>
      <c r="D72" s="28"/>
      <c r="F72" s="21"/>
      <c r="K72" s="26"/>
    </row>
    <row r="73" spans="1:11" s="22" customFormat="1" x14ac:dyDescent="0.25">
      <c r="K73" s="26"/>
    </row>
    <row r="74" spans="1:11" s="22" customFormat="1" x14ac:dyDescent="0.25">
      <c r="K74" s="26"/>
    </row>
    <row r="75" spans="1:11" s="22" customFormat="1" x14ac:dyDescent="0.25">
      <c r="K75" s="26"/>
    </row>
    <row r="76" spans="1:11" s="22" customFormat="1" x14ac:dyDescent="0.25">
      <c r="K76" s="26"/>
    </row>
    <row r="77" spans="1:11" s="22" customFormat="1" x14ac:dyDescent="0.25">
      <c r="K77" s="26"/>
    </row>
    <row r="78" spans="1:11" s="22" customFormat="1" x14ac:dyDescent="0.25">
      <c r="K78" s="26"/>
    </row>
    <row r="94" spans="1:5" x14ac:dyDescent="0.25">
      <c r="A94" s="28"/>
      <c r="B94" s="28"/>
      <c r="C94" s="28"/>
      <c r="D94" s="28"/>
      <c r="E94" s="28"/>
    </row>
    <row r="95" spans="1:5" x14ac:dyDescent="0.25">
      <c r="A95" s="28"/>
      <c r="B95" s="28"/>
      <c r="C95" s="28"/>
      <c r="D95" s="28"/>
      <c r="E95" s="28"/>
    </row>
    <row r="96" spans="1:5" x14ac:dyDescent="0.25">
      <c r="A96" s="28"/>
      <c r="B96" s="28"/>
      <c r="C96" s="28"/>
      <c r="D96" s="28"/>
      <c r="E96" s="28"/>
    </row>
    <row r="97" spans="1:5" x14ac:dyDescent="0.25">
      <c r="A97" s="28"/>
      <c r="B97" s="28"/>
      <c r="C97" s="28"/>
      <c r="D97" s="28"/>
      <c r="E97" s="28"/>
    </row>
    <row r="98" spans="1:5" x14ac:dyDescent="0.25">
      <c r="A98" s="28"/>
      <c r="B98" s="28"/>
      <c r="C98" s="28"/>
      <c r="D98" s="28"/>
      <c r="E98" s="28"/>
    </row>
    <row r="99" spans="1:5" x14ac:dyDescent="0.25">
      <c r="A99" s="28"/>
      <c r="B99" s="28"/>
      <c r="C99" s="28"/>
      <c r="D99" s="28"/>
      <c r="E99" s="28"/>
    </row>
    <row r="100" spans="1:5" x14ac:dyDescent="0.25">
      <c r="A100" s="28"/>
      <c r="B100" s="28"/>
      <c r="C100" s="28"/>
      <c r="D100" s="28"/>
      <c r="E100" s="28"/>
    </row>
    <row r="101" spans="1:5" x14ac:dyDescent="0.25">
      <c r="A101" s="28"/>
      <c r="B101" s="28"/>
      <c r="C101" s="28"/>
      <c r="D101" s="28"/>
      <c r="E101" s="28"/>
    </row>
    <row r="102" spans="1:5" x14ac:dyDescent="0.25">
      <c r="A102" s="28"/>
      <c r="B102" s="28"/>
      <c r="C102" s="28"/>
      <c r="D102" s="28"/>
      <c r="E102" s="28"/>
    </row>
    <row r="103" spans="1:5" x14ac:dyDescent="0.25">
      <c r="A103" s="28"/>
      <c r="B103" s="28"/>
      <c r="C103" s="28"/>
      <c r="D103" s="28"/>
      <c r="E103" s="28"/>
    </row>
    <row r="104" spans="1:5" x14ac:dyDescent="0.25">
      <c r="A104" s="28"/>
      <c r="B104" s="28"/>
      <c r="C104" s="28"/>
      <c r="D104" s="28"/>
      <c r="E104" s="28"/>
    </row>
    <row r="105" spans="1:5" x14ac:dyDescent="0.25">
      <c r="A105" s="28"/>
      <c r="B105" s="28"/>
      <c r="C105" s="28"/>
      <c r="D105" s="28"/>
      <c r="E105" s="28"/>
    </row>
    <row r="106" spans="1:5" x14ac:dyDescent="0.25">
      <c r="A106" s="28"/>
      <c r="B106" s="28"/>
      <c r="C106" s="28"/>
      <c r="D106" s="28"/>
      <c r="E106" s="28"/>
    </row>
    <row r="107" spans="1:5" x14ac:dyDescent="0.25">
      <c r="A107" s="28"/>
      <c r="B107" s="28"/>
      <c r="C107" s="28"/>
      <c r="D107" s="28"/>
      <c r="E107" s="28"/>
    </row>
    <row r="108" spans="1:5" x14ac:dyDescent="0.25">
      <c r="A108" s="28"/>
      <c r="B108" s="28"/>
      <c r="C108" s="28"/>
      <c r="D108" s="28"/>
      <c r="E108" s="28"/>
    </row>
    <row r="109" spans="1:5" x14ac:dyDescent="0.25">
      <c r="A109" s="28"/>
      <c r="B109" s="28"/>
      <c r="C109" s="28"/>
      <c r="D109" s="28"/>
      <c r="E109" s="28"/>
    </row>
    <row r="110" spans="1:5" x14ac:dyDescent="0.25">
      <c r="A110" s="28"/>
      <c r="B110" s="28"/>
      <c r="C110" s="28"/>
      <c r="D110" s="28"/>
      <c r="E110" s="28"/>
    </row>
    <row r="111" spans="1:5" x14ac:dyDescent="0.25">
      <c r="A111" s="28"/>
      <c r="B111" s="28"/>
      <c r="C111" s="28"/>
      <c r="D111" s="28"/>
      <c r="E111" s="28"/>
    </row>
    <row r="112" spans="1:5" x14ac:dyDescent="0.25">
      <c r="A112" s="28"/>
      <c r="B112" s="28"/>
      <c r="C112" s="28"/>
      <c r="D112" s="28"/>
      <c r="E112" s="28"/>
    </row>
    <row r="113" spans="1:5" x14ac:dyDescent="0.25">
      <c r="A113" s="28"/>
      <c r="B113" s="28"/>
      <c r="C113" s="28"/>
      <c r="D113" s="28"/>
      <c r="E113" s="28"/>
    </row>
    <row r="114" spans="1:5" x14ac:dyDescent="0.25">
      <c r="A114" s="28"/>
      <c r="B114" s="28"/>
      <c r="C114" s="28"/>
      <c r="D114" s="28"/>
      <c r="E114" s="28"/>
    </row>
    <row r="115" spans="1:5" x14ac:dyDescent="0.25">
      <c r="A115" s="28"/>
      <c r="B115" s="28"/>
      <c r="C115" s="28"/>
      <c r="D115" s="28"/>
      <c r="E115" s="28"/>
    </row>
    <row r="116" spans="1:5" x14ac:dyDescent="0.25">
      <c r="A116" s="28"/>
      <c r="B116" s="28"/>
      <c r="C116" s="28"/>
      <c r="D116" s="28"/>
      <c r="E116" s="28"/>
    </row>
    <row r="117" spans="1:5" x14ac:dyDescent="0.25">
      <c r="A117" s="28"/>
      <c r="B117" s="28"/>
      <c r="C117" s="28"/>
      <c r="D117" s="28"/>
      <c r="E117" s="28"/>
    </row>
    <row r="118" spans="1:5" x14ac:dyDescent="0.25">
      <c r="A118" s="28"/>
      <c r="B118" s="28"/>
      <c r="C118" s="28"/>
      <c r="D118" s="28"/>
      <c r="E118" s="28"/>
    </row>
    <row r="119" spans="1:5" x14ac:dyDescent="0.25">
      <c r="A119" s="28"/>
      <c r="B119" s="28"/>
      <c r="C119" s="28"/>
      <c r="D119" s="28"/>
      <c r="E119" s="28"/>
    </row>
    <row r="120" spans="1:5" x14ac:dyDescent="0.25">
      <c r="A120" s="28"/>
      <c r="B120" s="28"/>
      <c r="C120" s="28"/>
      <c r="D120" s="28"/>
      <c r="E120" s="28"/>
    </row>
    <row r="121" spans="1:5" x14ac:dyDescent="0.25">
      <c r="A121" s="28"/>
      <c r="B121" s="28"/>
      <c r="C121" s="28"/>
      <c r="D121" s="28"/>
      <c r="E121" s="28"/>
    </row>
    <row r="122" spans="1:5" x14ac:dyDescent="0.25">
      <c r="A122" s="28"/>
      <c r="B122" s="28"/>
      <c r="C122" s="28"/>
      <c r="D122" s="28"/>
      <c r="E122" s="28"/>
    </row>
    <row r="123" spans="1:5" x14ac:dyDescent="0.25">
      <c r="A123" s="28"/>
      <c r="B123" s="28"/>
      <c r="C123" s="28"/>
      <c r="D123" s="28"/>
      <c r="E123" s="28"/>
    </row>
    <row r="124" spans="1:5" x14ac:dyDescent="0.25">
      <c r="A124" s="28"/>
      <c r="B124" s="28"/>
      <c r="C124" s="28"/>
      <c r="D124" s="28"/>
      <c r="E124" s="28"/>
    </row>
    <row r="125" spans="1:5" x14ac:dyDescent="0.25">
      <c r="A125" s="28"/>
      <c r="B125" s="28"/>
      <c r="C125" s="28"/>
      <c r="D125" s="28"/>
      <c r="E125" s="28"/>
    </row>
    <row r="126" spans="1:5" x14ac:dyDescent="0.25">
      <c r="A126" s="28"/>
      <c r="B126" s="28"/>
      <c r="C126" s="28"/>
      <c r="D126" s="28"/>
      <c r="E126" s="28"/>
    </row>
    <row r="127" spans="1:5" x14ac:dyDescent="0.25">
      <c r="A127" s="28"/>
      <c r="B127" s="28"/>
      <c r="C127" s="28"/>
      <c r="D127" s="28"/>
      <c r="E127" s="28"/>
    </row>
    <row r="128" spans="1:5" x14ac:dyDescent="0.25">
      <c r="A128" s="28"/>
      <c r="B128" s="28"/>
      <c r="C128" s="28"/>
      <c r="D128" s="28"/>
      <c r="E128" s="28"/>
    </row>
    <row r="129" spans="1:5" x14ac:dyDescent="0.25">
      <c r="A129" s="28"/>
      <c r="B129" s="28"/>
      <c r="C129" s="28"/>
      <c r="D129" s="28"/>
      <c r="E129" s="28"/>
    </row>
    <row r="130" spans="1:5" x14ac:dyDescent="0.25">
      <c r="A130" s="28"/>
      <c r="B130" s="28"/>
      <c r="C130" s="28"/>
      <c r="D130" s="28"/>
      <c r="E130" s="28"/>
    </row>
    <row r="131" spans="1:5" x14ac:dyDescent="0.25">
      <c r="A131" s="28"/>
      <c r="B131" s="28"/>
      <c r="C131" s="28"/>
      <c r="D131" s="28"/>
      <c r="E131" s="28"/>
    </row>
    <row r="132" spans="1:5" x14ac:dyDescent="0.25">
      <c r="A132" s="28"/>
      <c r="B132" s="28"/>
      <c r="C132" s="28"/>
      <c r="D132" s="28"/>
      <c r="E132" s="28"/>
    </row>
    <row r="133" spans="1:5" x14ac:dyDescent="0.25">
      <c r="A133" s="28"/>
      <c r="B133" s="28"/>
      <c r="C133" s="28"/>
      <c r="D133" s="28"/>
      <c r="E133" s="28"/>
    </row>
    <row r="134" spans="1:5" x14ac:dyDescent="0.25">
      <c r="A134" s="28"/>
      <c r="B134" s="28"/>
      <c r="C134" s="28"/>
      <c r="D134" s="28"/>
      <c r="E134" s="28"/>
    </row>
    <row r="135" spans="1:5" x14ac:dyDescent="0.25">
      <c r="A135" s="28"/>
      <c r="B135" s="28"/>
      <c r="C135" s="28"/>
      <c r="D135" s="28"/>
      <c r="E135" s="28"/>
    </row>
    <row r="136" spans="1:5" x14ac:dyDescent="0.25">
      <c r="A136" s="28"/>
      <c r="B136" s="28"/>
      <c r="C136" s="28"/>
      <c r="D136" s="28"/>
      <c r="E136" s="28"/>
    </row>
    <row r="137" spans="1:5" x14ac:dyDescent="0.25">
      <c r="A137" s="28"/>
      <c r="B137" s="28"/>
      <c r="C137" s="28"/>
      <c r="D137" s="28"/>
      <c r="E137" s="28"/>
    </row>
    <row r="138" spans="1:5" x14ac:dyDescent="0.25">
      <c r="A138" s="28"/>
      <c r="B138" s="28"/>
      <c r="C138" s="28"/>
      <c r="D138" s="28"/>
      <c r="E138" s="28"/>
    </row>
    <row r="139" spans="1:5" x14ac:dyDescent="0.25">
      <c r="A139" s="28"/>
      <c r="B139" s="28"/>
      <c r="C139" s="28"/>
      <c r="D139" s="28"/>
      <c r="E139" s="28"/>
    </row>
    <row r="140" spans="1:5" x14ac:dyDescent="0.25">
      <c r="A140" s="28"/>
      <c r="B140" s="28"/>
      <c r="C140" s="28"/>
      <c r="D140" s="28"/>
      <c r="E140" s="28"/>
    </row>
    <row r="141" spans="1:5" x14ac:dyDescent="0.25">
      <c r="A141" s="28"/>
      <c r="B141" s="28"/>
      <c r="C141" s="28"/>
      <c r="D141" s="28"/>
      <c r="E141" s="28"/>
    </row>
    <row r="142" spans="1:5" x14ac:dyDescent="0.25">
      <c r="A142" s="28"/>
      <c r="B142" s="28"/>
      <c r="C142" s="28"/>
      <c r="D142" s="28"/>
      <c r="E142" s="28"/>
    </row>
    <row r="143" spans="1:5" x14ac:dyDescent="0.25">
      <c r="A143" s="28"/>
      <c r="B143" s="28"/>
      <c r="C143" s="28"/>
      <c r="D143" s="28"/>
      <c r="E143" s="28"/>
    </row>
    <row r="144" spans="1:5" x14ac:dyDescent="0.25">
      <c r="A144" s="28"/>
      <c r="B144" s="28"/>
      <c r="C144" s="28"/>
      <c r="D144" s="28"/>
      <c r="E144" s="28"/>
    </row>
    <row r="145" spans="1:5" x14ac:dyDescent="0.25">
      <c r="A145" s="28"/>
      <c r="B145" s="28"/>
      <c r="C145" s="28"/>
      <c r="D145" s="28"/>
      <c r="E145" s="28"/>
    </row>
    <row r="146" spans="1:5" x14ac:dyDescent="0.25">
      <c r="A146" s="28"/>
      <c r="B146" s="28"/>
      <c r="C146" s="28"/>
      <c r="D146" s="28"/>
      <c r="E146" s="28"/>
    </row>
    <row r="147" spans="1:5" x14ac:dyDescent="0.25">
      <c r="A147" s="28"/>
      <c r="B147" s="28"/>
      <c r="C147" s="28"/>
      <c r="D147" s="28"/>
      <c r="E147" s="28"/>
    </row>
    <row r="148" spans="1:5" x14ac:dyDescent="0.25">
      <c r="A148" s="28"/>
      <c r="B148" s="28"/>
      <c r="C148" s="28"/>
      <c r="D148" s="28"/>
      <c r="E148" s="28"/>
    </row>
    <row r="149" spans="1:5" x14ac:dyDescent="0.25">
      <c r="A149" s="28"/>
      <c r="B149" s="28"/>
      <c r="C149" s="28"/>
      <c r="D149" s="28"/>
      <c r="E149" s="28"/>
    </row>
    <row r="150" spans="1:5" x14ac:dyDescent="0.25">
      <c r="A150" s="28"/>
      <c r="B150" s="28"/>
      <c r="C150" s="28"/>
      <c r="D150" s="28"/>
      <c r="E150" s="28"/>
    </row>
    <row r="151" spans="1:5" x14ac:dyDescent="0.25">
      <c r="A151" s="28"/>
      <c r="B151" s="28"/>
      <c r="C151" s="28"/>
      <c r="D151" s="28"/>
      <c r="E151" s="28"/>
    </row>
    <row r="152" spans="1:5" x14ac:dyDescent="0.25">
      <c r="A152" s="28"/>
      <c r="B152" s="28"/>
      <c r="C152" s="28"/>
      <c r="D152" s="28"/>
      <c r="E152" s="28"/>
    </row>
    <row r="153" spans="1:5" x14ac:dyDescent="0.25">
      <c r="A153" s="28"/>
      <c r="B153" s="28"/>
      <c r="C153" s="28"/>
      <c r="D153" s="28"/>
      <c r="E153" s="28"/>
    </row>
    <row r="154" spans="1:5" x14ac:dyDescent="0.25">
      <c r="A154" s="28"/>
      <c r="B154" s="28"/>
      <c r="C154" s="28"/>
      <c r="D154" s="28"/>
      <c r="E154" s="28"/>
    </row>
    <row r="155" spans="1:5" x14ac:dyDescent="0.25">
      <c r="A155" s="28"/>
      <c r="B155" s="28"/>
      <c r="C155" s="28"/>
      <c r="D155" s="28"/>
      <c r="E155" s="28"/>
    </row>
    <row r="156" spans="1:5" x14ac:dyDescent="0.25">
      <c r="A156" s="28"/>
      <c r="B156" s="28"/>
      <c r="C156" s="28"/>
      <c r="D156" s="28"/>
      <c r="E156" s="28"/>
    </row>
    <row r="157" spans="1:5" x14ac:dyDescent="0.25">
      <c r="A157" s="28"/>
      <c r="B157" s="28"/>
      <c r="C157" s="28"/>
      <c r="D157" s="28"/>
      <c r="E157" s="28"/>
    </row>
    <row r="158" spans="1:5" x14ac:dyDescent="0.25">
      <c r="A158" s="28"/>
      <c r="B158" s="28"/>
      <c r="C158" s="28"/>
      <c r="D158" s="28"/>
      <c r="E158" s="28"/>
    </row>
    <row r="159" spans="1:5" x14ac:dyDescent="0.25">
      <c r="A159" s="28"/>
      <c r="B159" s="28"/>
      <c r="C159" s="28"/>
      <c r="D159" s="28"/>
      <c r="E159" s="28"/>
    </row>
    <row r="160" spans="1:5" x14ac:dyDescent="0.25">
      <c r="A160" s="28"/>
      <c r="B160" s="28"/>
      <c r="C160" s="28"/>
      <c r="D160" s="28"/>
      <c r="E160" s="28"/>
    </row>
    <row r="161" spans="1:5" x14ac:dyDescent="0.25">
      <c r="A161" s="28"/>
      <c r="B161" s="28"/>
      <c r="C161" s="28"/>
      <c r="D161" s="28"/>
      <c r="E161" s="28"/>
    </row>
    <row r="162" spans="1:5" x14ac:dyDescent="0.25">
      <c r="A162" s="28"/>
      <c r="B162" s="28"/>
      <c r="C162" s="28"/>
      <c r="D162" s="28"/>
      <c r="E162" s="28"/>
    </row>
    <row r="163" spans="1:5" x14ac:dyDescent="0.25">
      <c r="A163" s="28"/>
      <c r="B163" s="28"/>
      <c r="C163" s="28"/>
      <c r="D163" s="28"/>
      <c r="E163" s="28"/>
    </row>
    <row r="164" spans="1:5" x14ac:dyDescent="0.25">
      <c r="A164" s="28"/>
      <c r="B164" s="28"/>
      <c r="C164" s="28"/>
      <c r="D164" s="28"/>
      <c r="E164" s="28"/>
    </row>
    <row r="165" spans="1:5" x14ac:dyDescent="0.25">
      <c r="A165" s="28"/>
      <c r="B165" s="28"/>
      <c r="C165" s="28"/>
      <c r="D165" s="28"/>
      <c r="E165" s="28"/>
    </row>
    <row r="166" spans="1:5" x14ac:dyDescent="0.25">
      <c r="A166" s="28"/>
      <c r="B166" s="28"/>
      <c r="C166" s="28"/>
      <c r="D166" s="28"/>
      <c r="E166" s="28"/>
    </row>
    <row r="167" spans="1:5" x14ac:dyDescent="0.25">
      <c r="A167" s="28"/>
      <c r="B167" s="28"/>
      <c r="C167" s="28"/>
      <c r="D167" s="28"/>
      <c r="E167" s="28"/>
    </row>
    <row r="168" spans="1:5" x14ac:dyDescent="0.25">
      <c r="A168" s="28"/>
      <c r="B168" s="28"/>
      <c r="C168" s="28"/>
      <c r="D168" s="28"/>
      <c r="E168" s="28"/>
    </row>
    <row r="169" spans="1:5" x14ac:dyDescent="0.25">
      <c r="A169" s="28"/>
      <c r="B169" s="28"/>
      <c r="C169" s="28"/>
      <c r="D169" s="28"/>
      <c r="E169" s="28"/>
    </row>
    <row r="170" spans="1:5" x14ac:dyDescent="0.25">
      <c r="A170" s="28"/>
      <c r="B170" s="28"/>
      <c r="C170" s="28"/>
      <c r="D170" s="28"/>
      <c r="E170" s="28"/>
    </row>
    <row r="171" spans="1:5" x14ac:dyDescent="0.25">
      <c r="A171" s="28"/>
      <c r="B171" s="28"/>
      <c r="C171" s="28"/>
      <c r="D171" s="28"/>
      <c r="E171" s="28"/>
    </row>
    <row r="172" spans="1:5" x14ac:dyDescent="0.25">
      <c r="A172" s="28"/>
      <c r="B172" s="28"/>
      <c r="C172" s="28"/>
      <c r="D172" s="28"/>
      <c r="E172" s="28"/>
    </row>
    <row r="173" spans="1:5" x14ac:dyDescent="0.25">
      <c r="A173" s="28"/>
      <c r="B173" s="28"/>
      <c r="C173" s="28"/>
      <c r="D173" s="28"/>
      <c r="E173" s="28"/>
    </row>
    <row r="174" spans="1:5" x14ac:dyDescent="0.25">
      <c r="A174" s="28"/>
      <c r="B174" s="28"/>
      <c r="C174" s="28"/>
      <c r="D174" s="28"/>
      <c r="E174" s="28"/>
    </row>
    <row r="175" spans="1:5" x14ac:dyDescent="0.25">
      <c r="A175" s="28"/>
      <c r="B175" s="28"/>
      <c r="C175" s="28"/>
      <c r="D175" s="28"/>
      <c r="E175" s="28"/>
    </row>
    <row r="176" spans="1:5" x14ac:dyDescent="0.25">
      <c r="A176" s="28"/>
      <c r="B176" s="28"/>
      <c r="C176" s="28"/>
      <c r="D176" s="28"/>
      <c r="E176" s="28"/>
    </row>
    <row r="177" spans="1:5" x14ac:dyDescent="0.25">
      <c r="A177" s="28"/>
      <c r="B177" s="28"/>
      <c r="C177" s="28"/>
      <c r="D177" s="28"/>
      <c r="E177" s="28"/>
    </row>
    <row r="178" spans="1:5" x14ac:dyDescent="0.25">
      <c r="A178" s="28"/>
      <c r="B178" s="28"/>
      <c r="C178" s="28"/>
      <c r="D178" s="28"/>
      <c r="E178" s="28"/>
    </row>
    <row r="179" spans="1:5" x14ac:dyDescent="0.25">
      <c r="A179" s="28"/>
      <c r="B179" s="28"/>
      <c r="C179" s="28"/>
      <c r="D179" s="28"/>
      <c r="E179" s="28"/>
    </row>
    <row r="180" spans="1:5" x14ac:dyDescent="0.25">
      <c r="A180" s="28"/>
      <c r="B180" s="28"/>
      <c r="C180" s="28"/>
      <c r="D180" s="28"/>
      <c r="E180" s="28"/>
    </row>
    <row r="181" spans="1:5" x14ac:dyDescent="0.25">
      <c r="A181" s="28"/>
      <c r="B181" s="28"/>
      <c r="C181" s="28"/>
      <c r="D181" s="28"/>
      <c r="E181" s="28"/>
    </row>
    <row r="182" spans="1:5" x14ac:dyDescent="0.25">
      <c r="A182" s="28"/>
      <c r="B182" s="28"/>
      <c r="C182" s="28"/>
      <c r="D182" s="28"/>
      <c r="E182" s="28"/>
    </row>
    <row r="183" spans="1:5" x14ac:dyDescent="0.25">
      <c r="A183" s="28"/>
      <c r="B183" s="28"/>
      <c r="C183" s="28"/>
      <c r="D183" s="28"/>
      <c r="E183" s="28"/>
    </row>
    <row r="184" spans="1:5" x14ac:dyDescent="0.25">
      <c r="A184" s="28"/>
      <c r="B184" s="28"/>
      <c r="C184" s="28"/>
      <c r="D184" s="28"/>
      <c r="E184" s="28"/>
    </row>
    <row r="185" spans="1:5" x14ac:dyDescent="0.25">
      <c r="A185" s="28"/>
      <c r="B185" s="28"/>
      <c r="C185" s="28"/>
      <c r="D185" s="28"/>
      <c r="E185" s="28"/>
    </row>
    <row r="186" spans="1:5" x14ac:dyDescent="0.25">
      <c r="A186" s="28"/>
      <c r="B186" s="28"/>
      <c r="C186" s="28"/>
      <c r="D186" s="28"/>
      <c r="E186" s="28"/>
    </row>
    <row r="187" spans="1:5" x14ac:dyDescent="0.25">
      <c r="A187" s="28"/>
      <c r="B187" s="28"/>
      <c r="C187" s="28"/>
      <c r="D187" s="28"/>
      <c r="E187" s="28"/>
    </row>
    <row r="188" spans="1:5" x14ac:dyDescent="0.25">
      <c r="A188" s="28"/>
      <c r="B188" s="28"/>
      <c r="C188" s="28"/>
      <c r="D188" s="28"/>
      <c r="E188" s="28"/>
    </row>
    <row r="189" spans="1:5" x14ac:dyDescent="0.25">
      <c r="A189" s="28"/>
      <c r="B189" s="28"/>
      <c r="C189" s="28"/>
      <c r="D189" s="28"/>
      <c r="E189" s="28"/>
    </row>
    <row r="190" spans="1:5" x14ac:dyDescent="0.25">
      <c r="A190" s="28"/>
      <c r="B190" s="28"/>
      <c r="C190" s="28"/>
      <c r="D190" s="28"/>
      <c r="E190" s="28"/>
    </row>
    <row r="191" spans="1:5" x14ac:dyDescent="0.25">
      <c r="A191" s="28"/>
      <c r="B191" s="28"/>
      <c r="C191" s="28"/>
      <c r="D191" s="28"/>
      <c r="E191" s="28"/>
    </row>
    <row r="192" spans="1:5" x14ac:dyDescent="0.25">
      <c r="A192" s="28"/>
      <c r="B192" s="28"/>
      <c r="C192" s="28"/>
      <c r="D192" s="28"/>
      <c r="E192" s="28"/>
    </row>
    <row r="193" spans="1:5" x14ac:dyDescent="0.25">
      <c r="A193" s="28"/>
      <c r="B193" s="28"/>
      <c r="C193" s="28"/>
      <c r="D193" s="28"/>
      <c r="E193" s="28"/>
    </row>
    <row r="194" spans="1:5" x14ac:dyDescent="0.25">
      <c r="A194" s="28"/>
      <c r="B194" s="28"/>
      <c r="C194" s="28"/>
      <c r="D194" s="28"/>
      <c r="E194" s="28"/>
    </row>
    <row r="195" spans="1:5" x14ac:dyDescent="0.25">
      <c r="A195" s="28"/>
      <c r="B195" s="28"/>
      <c r="C195" s="28"/>
      <c r="D195" s="28"/>
      <c r="E195" s="28"/>
    </row>
    <row r="196" spans="1:5" x14ac:dyDescent="0.25">
      <c r="A196" s="28"/>
      <c r="B196" s="28"/>
      <c r="C196" s="28"/>
      <c r="D196" s="28"/>
      <c r="E196" s="28"/>
    </row>
    <row r="197" spans="1:5" x14ac:dyDescent="0.25">
      <c r="A197" s="28"/>
      <c r="B197" s="28"/>
      <c r="C197" s="28"/>
      <c r="D197" s="28"/>
      <c r="E197" s="28"/>
    </row>
    <row r="198" spans="1:5" x14ac:dyDescent="0.25">
      <c r="A198" s="28"/>
      <c r="B198" s="28"/>
      <c r="C198" s="28"/>
      <c r="D198" s="28"/>
      <c r="E198" s="28"/>
    </row>
    <row r="199" spans="1:5" x14ac:dyDescent="0.25">
      <c r="A199" s="28"/>
      <c r="B199" s="28"/>
      <c r="C199" s="28"/>
      <c r="D199" s="28"/>
      <c r="E199" s="28"/>
    </row>
    <row r="200" spans="1:5" x14ac:dyDescent="0.25">
      <c r="A200" s="28"/>
      <c r="B200" s="28"/>
      <c r="C200" s="28"/>
      <c r="D200" s="28"/>
      <c r="E200" s="28"/>
    </row>
    <row r="201" spans="1:5" x14ac:dyDescent="0.25">
      <c r="A201" s="28"/>
      <c r="B201" s="28"/>
      <c r="C201" s="28"/>
      <c r="D201" s="28"/>
      <c r="E201" s="28"/>
    </row>
    <row r="202" spans="1:5" x14ac:dyDescent="0.25">
      <c r="A202" s="28"/>
      <c r="B202" s="28"/>
      <c r="C202" s="28"/>
      <c r="D202" s="28"/>
      <c r="E202" s="28"/>
    </row>
    <row r="203" spans="1:5" x14ac:dyDescent="0.25">
      <c r="A203" s="28"/>
      <c r="B203" s="28"/>
      <c r="C203" s="28"/>
      <c r="D203" s="28"/>
      <c r="E203" s="28"/>
    </row>
    <row r="204" spans="1:5" x14ac:dyDescent="0.25">
      <c r="A204" s="28"/>
      <c r="B204" s="28"/>
      <c r="C204" s="28"/>
      <c r="D204" s="28"/>
      <c r="E204" s="28"/>
    </row>
    <row r="205" spans="1:5" x14ac:dyDescent="0.25">
      <c r="A205" s="28"/>
      <c r="B205" s="28"/>
      <c r="C205" s="28"/>
      <c r="D205" s="28"/>
      <c r="E205" s="28"/>
    </row>
    <row r="206" spans="1:5" x14ac:dyDescent="0.25">
      <c r="A206" s="28"/>
      <c r="B206" s="28"/>
      <c r="C206" s="28"/>
      <c r="D206" s="28"/>
      <c r="E206" s="28"/>
    </row>
    <row r="207" spans="1:5" x14ac:dyDescent="0.25">
      <c r="A207" s="28"/>
      <c r="B207" s="28"/>
      <c r="C207" s="28"/>
      <c r="D207" s="28"/>
      <c r="E207" s="28"/>
    </row>
    <row r="208" spans="1:5" x14ac:dyDescent="0.25">
      <c r="A208" s="28"/>
      <c r="B208" s="28"/>
      <c r="C208" s="28"/>
      <c r="D208" s="28"/>
      <c r="E208" s="28"/>
    </row>
    <row r="209" spans="1:5" x14ac:dyDescent="0.25">
      <c r="A209" s="28"/>
      <c r="B209" s="28"/>
      <c r="C209" s="28"/>
      <c r="D209" s="28"/>
      <c r="E209" s="28"/>
    </row>
    <row r="210" spans="1:5" x14ac:dyDescent="0.25">
      <c r="A210" s="28"/>
      <c r="B210" s="28"/>
      <c r="C210" s="28"/>
      <c r="D210" s="28"/>
      <c r="E210" s="28"/>
    </row>
    <row r="211" spans="1:5" x14ac:dyDescent="0.25">
      <c r="A211" s="28"/>
      <c r="B211" s="28"/>
      <c r="C211" s="28"/>
      <c r="D211" s="28"/>
      <c r="E211" s="28"/>
    </row>
    <row r="212" spans="1:5" x14ac:dyDescent="0.25">
      <c r="A212" s="28"/>
      <c r="B212" s="28"/>
      <c r="C212" s="28"/>
      <c r="D212" s="28"/>
      <c r="E212" s="28"/>
    </row>
    <row r="213" spans="1:5" x14ac:dyDescent="0.25">
      <c r="A213" s="28"/>
      <c r="B213" s="28"/>
      <c r="C213" s="28"/>
      <c r="D213" s="28"/>
      <c r="E213" s="28"/>
    </row>
    <row r="214" spans="1:5" x14ac:dyDescent="0.25">
      <c r="A214" s="28"/>
      <c r="B214" s="28"/>
      <c r="C214" s="28"/>
      <c r="D214" s="28"/>
      <c r="E214" s="28"/>
    </row>
    <row r="215" spans="1:5" x14ac:dyDescent="0.25">
      <c r="A215" s="28"/>
      <c r="B215" s="28"/>
      <c r="C215" s="28"/>
      <c r="D215" s="28"/>
      <c r="E215" s="28"/>
    </row>
    <row r="216" spans="1:5" x14ac:dyDescent="0.25">
      <c r="A216" s="28"/>
      <c r="B216" s="28"/>
      <c r="C216" s="28"/>
      <c r="D216" s="28"/>
      <c r="E216" s="28"/>
    </row>
    <row r="217" spans="1:5" x14ac:dyDescent="0.25">
      <c r="A217" s="28"/>
      <c r="B217" s="28"/>
      <c r="C217" s="28"/>
      <c r="D217" s="28"/>
      <c r="E217" s="28"/>
    </row>
    <row r="218" spans="1:5" x14ac:dyDescent="0.25">
      <c r="A218" s="28"/>
      <c r="B218" s="28"/>
      <c r="C218" s="28"/>
      <c r="D218" s="28"/>
      <c r="E218" s="28"/>
    </row>
    <row r="219" spans="1:5" x14ac:dyDescent="0.25">
      <c r="A219" s="28"/>
      <c r="B219" s="28"/>
      <c r="C219" s="28"/>
      <c r="D219" s="28"/>
      <c r="E219" s="28"/>
    </row>
    <row r="220" spans="1:5" x14ac:dyDescent="0.25">
      <c r="A220" s="28"/>
      <c r="B220" s="28"/>
      <c r="C220" s="28"/>
      <c r="D220" s="28"/>
      <c r="E220" s="28"/>
    </row>
    <row r="221" spans="1:5" x14ac:dyDescent="0.25">
      <c r="A221" s="28"/>
      <c r="B221" s="28"/>
      <c r="C221" s="28"/>
      <c r="D221" s="28"/>
      <c r="E221" s="28"/>
    </row>
    <row r="222" spans="1:5" x14ac:dyDescent="0.25">
      <c r="A222" s="28"/>
      <c r="B222" s="28"/>
      <c r="C222" s="28"/>
      <c r="D222" s="28"/>
      <c r="E222" s="28"/>
    </row>
    <row r="223" spans="1:5" x14ac:dyDescent="0.25">
      <c r="A223" s="28"/>
      <c r="B223" s="28"/>
      <c r="C223" s="28"/>
      <c r="D223" s="28"/>
      <c r="E223" s="28"/>
    </row>
    <row r="224" spans="1:5" x14ac:dyDescent="0.25">
      <c r="A224" s="28"/>
      <c r="B224" s="28"/>
      <c r="C224" s="28"/>
      <c r="D224" s="28"/>
      <c r="E224" s="28"/>
    </row>
    <row r="225" spans="1:5" x14ac:dyDescent="0.25">
      <c r="A225" s="28"/>
      <c r="B225" s="28"/>
      <c r="C225" s="28"/>
      <c r="D225" s="28"/>
      <c r="E225" s="28"/>
    </row>
    <row r="226" spans="1:5" x14ac:dyDescent="0.25">
      <c r="A226" s="28"/>
      <c r="B226" s="28"/>
      <c r="C226" s="28"/>
      <c r="D226" s="28"/>
      <c r="E226" s="28"/>
    </row>
    <row r="227" spans="1:5" x14ac:dyDescent="0.25">
      <c r="A227" s="28"/>
      <c r="B227" s="28"/>
      <c r="C227" s="28"/>
      <c r="D227" s="28"/>
      <c r="E227" s="28"/>
    </row>
    <row r="228" spans="1:5" x14ac:dyDescent="0.25">
      <c r="A228" s="28"/>
      <c r="B228" s="28"/>
      <c r="C228" s="28"/>
      <c r="D228" s="28"/>
      <c r="E228" s="28"/>
    </row>
    <row r="229" spans="1:5" x14ac:dyDescent="0.25">
      <c r="A229" s="28"/>
      <c r="B229" s="28"/>
      <c r="C229" s="28"/>
      <c r="D229" s="28"/>
      <c r="E229" s="28"/>
    </row>
    <row r="230" spans="1:5" x14ac:dyDescent="0.25">
      <c r="A230" s="28"/>
      <c r="B230" s="28"/>
      <c r="C230" s="28"/>
      <c r="D230" s="28"/>
      <c r="E230" s="28"/>
    </row>
    <row r="231" spans="1:5" x14ac:dyDescent="0.25">
      <c r="A231" s="28"/>
      <c r="B231" s="28"/>
      <c r="C231" s="28"/>
      <c r="D231" s="28"/>
      <c r="E231" s="28"/>
    </row>
    <row r="232" spans="1:5" x14ac:dyDescent="0.25">
      <c r="A232" s="28"/>
      <c r="B232" s="28"/>
      <c r="C232" s="28"/>
      <c r="D232" s="28"/>
      <c r="E232" s="28"/>
    </row>
    <row r="233" spans="1:5" x14ac:dyDescent="0.25">
      <c r="A233" s="28"/>
      <c r="B233" s="28"/>
      <c r="C233" s="28"/>
      <c r="D233" s="28"/>
      <c r="E233" s="28"/>
    </row>
    <row r="234" spans="1:5" x14ac:dyDescent="0.25">
      <c r="A234" s="28"/>
      <c r="B234" s="28"/>
      <c r="C234" s="28"/>
      <c r="D234" s="28"/>
      <c r="E234" s="28"/>
    </row>
    <row r="235" spans="1:5" x14ac:dyDescent="0.25">
      <c r="A235" s="28"/>
      <c r="B235" s="28"/>
      <c r="C235" s="28"/>
      <c r="D235" s="28"/>
      <c r="E235" s="28"/>
    </row>
    <row r="236" spans="1:5" x14ac:dyDescent="0.25">
      <c r="A236" s="28"/>
      <c r="B236" s="28"/>
      <c r="C236" s="28"/>
      <c r="D236" s="28"/>
      <c r="E236" s="28"/>
    </row>
    <row r="237" spans="1:5" x14ac:dyDescent="0.25">
      <c r="A237" s="28"/>
      <c r="B237" s="28"/>
      <c r="C237" s="28"/>
      <c r="D237" s="28"/>
      <c r="E237" s="28"/>
    </row>
    <row r="238" spans="1:5" x14ac:dyDescent="0.25">
      <c r="A238" s="28"/>
      <c r="B238" s="28"/>
      <c r="C238" s="28"/>
      <c r="D238" s="28"/>
      <c r="E238" s="28"/>
    </row>
    <row r="239" spans="1:5" x14ac:dyDescent="0.25">
      <c r="A239" s="28"/>
      <c r="B239" s="28"/>
      <c r="C239" s="28"/>
      <c r="D239" s="28"/>
      <c r="E239" s="28"/>
    </row>
    <row r="240" spans="1:5" x14ac:dyDescent="0.25">
      <c r="A240" s="28"/>
      <c r="B240" s="28"/>
      <c r="C240" s="28"/>
      <c r="D240" s="28"/>
      <c r="E240" s="28"/>
    </row>
    <row r="241" spans="1:5" x14ac:dyDescent="0.25">
      <c r="A241" s="28"/>
      <c r="B241" s="28"/>
      <c r="C241" s="28"/>
      <c r="D241" s="28"/>
      <c r="E241" s="28"/>
    </row>
    <row r="242" spans="1:5" x14ac:dyDescent="0.25">
      <c r="A242" s="28"/>
      <c r="B242" s="28"/>
      <c r="C242" s="28"/>
      <c r="D242" s="28"/>
      <c r="E242" s="28"/>
    </row>
    <row r="243" spans="1:5" x14ac:dyDescent="0.25">
      <c r="A243" s="28"/>
      <c r="B243" s="28"/>
      <c r="C243" s="28"/>
      <c r="D243" s="28"/>
      <c r="E243" s="28"/>
    </row>
    <row r="244" spans="1:5" x14ac:dyDescent="0.25">
      <c r="A244" s="28"/>
      <c r="B244" s="28"/>
      <c r="C244" s="28"/>
      <c r="D244" s="28"/>
      <c r="E244" s="28"/>
    </row>
    <row r="245" spans="1:5" x14ac:dyDescent="0.25">
      <c r="A245" s="28"/>
      <c r="B245" s="28"/>
      <c r="C245" s="28"/>
      <c r="D245" s="28"/>
      <c r="E245" s="28"/>
    </row>
  </sheetData>
  <phoneticPr fontId="1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opLeftCell="A14" workbookViewId="0">
      <selection activeCell="B22" sqref="B22"/>
    </sheetView>
  </sheetViews>
  <sheetFormatPr defaultRowHeight="15" x14ac:dyDescent="0.25"/>
  <cols>
    <col min="1" max="1" width="12.140625" bestFit="1" customWidth="1"/>
    <col min="2" max="2" width="12.42578125" bestFit="1" customWidth="1"/>
    <col min="3" max="6" width="9.28515625" bestFit="1" customWidth="1"/>
  </cols>
  <sheetData>
    <row r="1" spans="1:10" x14ac:dyDescent="0.25">
      <c r="A1" t="s">
        <v>126</v>
      </c>
    </row>
    <row r="2" spans="1:10" x14ac:dyDescent="0.25">
      <c r="A2" t="s">
        <v>128</v>
      </c>
      <c r="B2">
        <f>-IF(Cp!E35="",Cp!E34,Cp!E35)</f>
        <v>-1.288037600000564</v>
      </c>
      <c r="H2" s="16" t="s">
        <v>127</v>
      </c>
    </row>
    <row r="3" spans="1:10" x14ac:dyDescent="0.25">
      <c r="A3" s="56">
        <v>1</v>
      </c>
      <c r="B3" s="56">
        <v>1</v>
      </c>
      <c r="C3" s="56">
        <v>1</v>
      </c>
      <c r="D3" s="56">
        <v>1</v>
      </c>
      <c r="E3" s="56">
        <v>1</v>
      </c>
      <c r="F3" s="58">
        <v>1</v>
      </c>
      <c r="G3" s="16" t="s">
        <v>137</v>
      </c>
      <c r="H3" s="28">
        <f>MMULT(A10:F10,J3:J8)</f>
        <v>1.5414063999988219</v>
      </c>
      <c r="I3" s="28"/>
      <c r="J3" s="28">
        <f>-Cp!$U$35</f>
        <v>-8.8754E-2</v>
      </c>
    </row>
    <row r="4" spans="1:10" x14ac:dyDescent="0.25">
      <c r="A4" s="56">
        <f>1/2</f>
        <v>0.5</v>
      </c>
      <c r="B4" s="56">
        <f>1/4</f>
        <v>0.25</v>
      </c>
      <c r="C4" s="56">
        <f>1/8</f>
        <v>0.125</v>
      </c>
      <c r="D4" s="42">
        <f>1/16</f>
        <v>6.25E-2</v>
      </c>
      <c r="E4" s="42">
        <f>1/32</f>
        <v>3.125E-2</v>
      </c>
      <c r="F4" s="20">
        <f>1/64</f>
        <v>1.5625E-2</v>
      </c>
      <c r="G4" s="16" t="s">
        <v>129</v>
      </c>
      <c r="H4" s="28">
        <f>MMULT(A11:F11,J3:J8)</f>
        <v>5.9982571999964271</v>
      </c>
      <c r="I4" s="28"/>
      <c r="J4" s="28">
        <f>1-Cp!U35</f>
        <v>0.911246</v>
      </c>
    </row>
    <row r="5" spans="1:10" x14ac:dyDescent="0.25">
      <c r="A5" s="56">
        <v>1</v>
      </c>
      <c r="B5" s="56">
        <v>1</v>
      </c>
      <c r="C5" s="56">
        <f>3/4</f>
        <v>0.75</v>
      </c>
      <c r="D5" s="56">
        <f>1/2</f>
        <v>0.5</v>
      </c>
      <c r="E5" s="56">
        <f>5/16</f>
        <v>0.3125</v>
      </c>
      <c r="F5">
        <f>3/16</f>
        <v>0.1875</v>
      </c>
      <c r="G5" s="16" t="s">
        <v>130</v>
      </c>
      <c r="H5" s="28">
        <f>MMULT(A12:F12,J3:J8)</f>
        <v>-12.544140799974969</v>
      </c>
      <c r="I5" s="28"/>
      <c r="J5" s="28">
        <v>0</v>
      </c>
    </row>
    <row r="6" spans="1:10" x14ac:dyDescent="0.25">
      <c r="A6" s="56">
        <f>1/2</f>
        <v>0.5</v>
      </c>
      <c r="B6" s="30">
        <f>1/3</f>
        <v>0.33333333333333331</v>
      </c>
      <c r="C6" s="56">
        <f>1/4</f>
        <v>0.25</v>
      </c>
      <c r="D6" s="56">
        <f>1/5</f>
        <v>0.2</v>
      </c>
      <c r="E6" s="30">
        <f>1/6</f>
        <v>0.16666666666666666</v>
      </c>
      <c r="F6" s="14">
        <f>1/7</f>
        <v>0.14285714285714285</v>
      </c>
      <c r="G6" s="16" t="s">
        <v>131</v>
      </c>
      <c r="H6" s="28">
        <f>MMULT(A13:F13,J3:J8)</f>
        <v>1.7721519999494291</v>
      </c>
      <c r="I6" s="28"/>
      <c r="J6" s="28">
        <f>Cp!R34-Cp!U35</f>
        <v>0.51244599999999996</v>
      </c>
    </row>
    <row r="7" spans="1:10" x14ac:dyDescent="0.25">
      <c r="A7" s="30">
        <f>1/3</f>
        <v>0.33333333333333331</v>
      </c>
      <c r="B7" s="56">
        <f>1/4</f>
        <v>0.25</v>
      </c>
      <c r="C7" s="56">
        <f>1/5</f>
        <v>0.2</v>
      </c>
      <c r="D7" s="30">
        <f>1/6</f>
        <v>0.16666666666666666</v>
      </c>
      <c r="E7" s="30">
        <f>1/7</f>
        <v>0.14285714285714285</v>
      </c>
      <c r="F7" s="14">
        <f>1/8</f>
        <v>0.125</v>
      </c>
      <c r="G7" s="16" t="s">
        <v>132</v>
      </c>
      <c r="H7" s="28">
        <f>MMULT(A14:F14,J3:J8)</f>
        <v>3.1435712000453719</v>
      </c>
      <c r="I7" s="28"/>
      <c r="J7" s="28">
        <f>(0.5-Cp!K34/100)*Cp!R34-0.5*Cp!U35</f>
        <v>0.24897853999999997</v>
      </c>
    </row>
    <row r="8" spans="1:10" x14ac:dyDescent="0.25">
      <c r="A8" s="56">
        <v>1</v>
      </c>
      <c r="B8" s="56">
        <v>2</v>
      </c>
      <c r="C8" s="56">
        <v>3</v>
      </c>
      <c r="D8" s="56">
        <v>4</v>
      </c>
      <c r="E8" s="56">
        <v>5</v>
      </c>
      <c r="F8" s="56">
        <v>6</v>
      </c>
      <c r="G8" s="16" t="s">
        <v>133</v>
      </c>
      <c r="H8" s="28">
        <f>MMULT(A15:F15,J3:J8)</f>
        <v>-1.5404566511278972E-11</v>
      </c>
      <c r="I8" s="28"/>
      <c r="J8">
        <f>B2</f>
        <v>-1.288037600000564</v>
      </c>
    </row>
    <row r="9" spans="1:10" x14ac:dyDescent="0.25">
      <c r="A9" s="28"/>
      <c r="B9" s="28"/>
      <c r="C9" s="28"/>
      <c r="D9" s="28"/>
      <c r="E9" s="28"/>
      <c r="F9" s="28"/>
      <c r="G9" s="28"/>
      <c r="H9" s="28"/>
      <c r="I9" s="28"/>
    </row>
    <row r="10" spans="1:10" x14ac:dyDescent="0.25">
      <c r="A10" s="28">
        <f t="array" ref="A10:F15">MINVERSE(A3:F8)</f>
        <v>20.000000000001933</v>
      </c>
      <c r="B10" s="28">
        <v>1.7621459846850485E-12</v>
      </c>
      <c r="C10" s="28">
        <v>5.3333333333336128</v>
      </c>
      <c r="D10" s="28">
        <v>140.00000000000159</v>
      </c>
      <c r="E10" s="28">
        <v>-280.00000000001637</v>
      </c>
      <c r="F10" s="28">
        <v>-1.0000000000000675</v>
      </c>
      <c r="G10" s="28"/>
      <c r="H10" s="28"/>
      <c r="I10" s="28"/>
    </row>
    <row r="11" spans="1:10" x14ac:dyDescent="0.25">
      <c r="A11" s="28">
        <v>-232.00000000002137</v>
      </c>
      <c r="B11" s="28">
        <v>-96.000000000019554</v>
      </c>
      <c r="C11" s="28">
        <v>-58.666666666670153</v>
      </c>
      <c r="D11" s="28">
        <v>-1120.0000000000446</v>
      </c>
      <c r="E11" s="28">
        <v>2660.0000000001746</v>
      </c>
      <c r="F11" s="28">
        <v>12.000000000001194</v>
      </c>
      <c r="G11" s="28"/>
      <c r="H11" s="28"/>
      <c r="I11" s="28"/>
    </row>
    <row r="12" spans="1:10" x14ac:dyDescent="0.25">
      <c r="A12" s="28">
        <v>940.00000000008708</v>
      </c>
      <c r="B12" s="28">
        <v>640.00000000007685</v>
      </c>
      <c r="C12" s="28">
        <v>213.33333333334866</v>
      </c>
      <c r="D12" s="28">
        <v>3500.0000000002219</v>
      </c>
      <c r="E12" s="28">
        <v>-9520.0000000007458</v>
      </c>
      <c r="F12" s="28">
        <v>-50.000000000004988</v>
      </c>
      <c r="G12" s="28"/>
      <c r="H12" s="28"/>
      <c r="I12" s="28"/>
    </row>
    <row r="13" spans="1:10" x14ac:dyDescent="0.25">
      <c r="A13" s="28">
        <v>-1735.000000000161</v>
      </c>
      <c r="B13" s="28">
        <v>-1440.0000000001382</v>
      </c>
      <c r="C13" s="28">
        <v>-346.6666666666963</v>
      </c>
      <c r="D13" s="28">
        <v>-5320.0000000004438</v>
      </c>
      <c r="E13" s="28">
        <v>16100.000000001422</v>
      </c>
      <c r="F13" s="28">
        <v>95.000000000009123</v>
      </c>
      <c r="G13" s="28"/>
      <c r="H13" s="28"/>
      <c r="I13" s="28"/>
    </row>
    <row r="14" spans="1:10" x14ac:dyDescent="0.25">
      <c r="A14" s="28">
        <v>1484.0000000001367</v>
      </c>
      <c r="B14" s="28">
        <v>1344.0000000001153</v>
      </c>
      <c r="C14" s="28">
        <v>261.33333333335918</v>
      </c>
      <c r="D14" s="28">
        <v>3920.000000000392</v>
      </c>
      <c r="E14" s="28">
        <v>-12880.000000001228</v>
      </c>
      <c r="F14" s="28">
        <v>-84.000000000007688</v>
      </c>
      <c r="G14" s="28"/>
      <c r="H14" s="28"/>
      <c r="I14" s="28"/>
    </row>
    <row r="15" spans="1:10" x14ac:dyDescent="0.25">
      <c r="A15" s="28">
        <v>-476.00000000004331</v>
      </c>
      <c r="B15" s="28">
        <v>-448.0000000000361</v>
      </c>
      <c r="C15" s="28">
        <v>-74.666666666674999</v>
      </c>
      <c r="D15" s="28">
        <v>-1120.0000000001271</v>
      </c>
      <c r="E15" s="28">
        <v>3920.0000000003929</v>
      </c>
      <c r="F15" s="28">
        <v>28.000000000002427</v>
      </c>
      <c r="G15" s="28"/>
      <c r="H15" s="28"/>
      <c r="I15" s="28"/>
    </row>
    <row r="16" spans="1:10" x14ac:dyDescent="0.25">
      <c r="A16" s="28"/>
      <c r="B16" s="28"/>
      <c r="C16" s="28"/>
      <c r="D16" s="28"/>
      <c r="E16" s="28"/>
      <c r="F16" s="28"/>
      <c r="G16" s="28"/>
      <c r="H16" s="28"/>
      <c r="I16" s="28"/>
    </row>
    <row r="17" spans="1:9" x14ac:dyDescent="0.25">
      <c r="A17" s="28" t="s">
        <v>115</v>
      </c>
      <c r="B17" s="28" t="s">
        <v>118</v>
      </c>
      <c r="C17" s="28" t="s">
        <v>114</v>
      </c>
      <c r="D17" s="28" t="s">
        <v>117</v>
      </c>
      <c r="E17" s="38"/>
      <c r="F17" s="38" t="s">
        <v>100</v>
      </c>
      <c r="G17" s="38" t="s">
        <v>22</v>
      </c>
      <c r="H17" s="28"/>
      <c r="I17" s="28" t="s">
        <v>116</v>
      </c>
    </row>
    <row r="18" spans="1:9" x14ac:dyDescent="0.25">
      <c r="A18" s="29">
        <v>0</v>
      </c>
      <c r="B18" s="42">
        <f>Cp!$U$35+$H$3*A18+$H$4*A18^2+$H$5*A18^3+$H$6*A18^4+$H$7*A18^5+$H$8*A18^6</f>
        <v>8.8754E-2</v>
      </c>
      <c r="C18" s="28">
        <f>A18*Cp!$K$35</f>
        <v>0</v>
      </c>
      <c r="D18" s="41">
        <f>B18*Cp!$R$35*Cp!$O$34*Cp!$O$35</f>
        <v>4.9784659414986825</v>
      </c>
      <c r="E18" s="38"/>
      <c r="F18" s="36">
        <f>(1-IF(A18&lt;='Profile Calcs'!$B$65,1-_xll.Spline('Profile Calcs'!$B$60:$B$65,'Profile Calcs'!$C$60:$C$65,A18,TRUE),IF(A18&gt;='Profile Calcs'!$B$68,1-_xll.Spline('Profile Calcs'!$B$68:$B$71,'Profile Calcs'!$C$68:$C$71,A18,TRUE),0)))*Cp!$O$35</f>
        <v>0.85936286996477074</v>
      </c>
      <c r="G18" s="36">
        <f>'Cwl Opt1 Calcs'!D24*2</f>
        <v>8.6349125975371877</v>
      </c>
      <c r="H18" s="28"/>
      <c r="I18" s="39">
        <f t="shared" ref="I18:I23" si="0">D18/(F18*G18)</f>
        <v>0.67090496979849901</v>
      </c>
    </row>
    <row r="19" spans="1:9" x14ac:dyDescent="0.25">
      <c r="A19" s="29">
        <v>0.05</v>
      </c>
      <c r="B19" s="42">
        <f>Cp!$U$35+$H$3*A19+$H$4*A19^2+$H$5*A19^3+$H$6*A19^4+$H$7*A19^5+$H$8*A19^6</f>
        <v>0.17926400371593501</v>
      </c>
      <c r="C19" s="28">
        <f>A19*Cp!$K$35</f>
        <v>6.3246769080712024</v>
      </c>
      <c r="D19" s="41">
        <f>B19*Cp!$R$35*Cp!$O$34*Cp!$O$35</f>
        <v>10.055431158443291</v>
      </c>
      <c r="E19" s="38"/>
      <c r="F19" s="36">
        <f>(1-IF(A19&lt;='Profile Calcs'!$B$65,1-_xll.Spline('Profile Calcs'!$B$60:$B$65,'Profile Calcs'!$C$60:$C$65,A19,TRUE),IF(A19&gt;='Profile Calcs'!$B$68,1-_xll.Spline('Profile Calcs'!$B$68:$B$71,'Profile Calcs'!$C$68:$C$71,A19,TRUE),0)))*Cp!$O$35</f>
        <v>1.6013468555422452</v>
      </c>
      <c r="G19" s="36">
        <f>'Cwl Opt1 Calcs'!D25*2</f>
        <v>10.151734601691782</v>
      </c>
      <c r="H19" s="28"/>
      <c r="I19" s="39">
        <f t="shared" si="0"/>
        <v>0.61855031207110245</v>
      </c>
    </row>
    <row r="20" spans="1:9" x14ac:dyDescent="0.25">
      <c r="A20" s="29">
        <v>0.1</v>
      </c>
      <c r="B20" s="42">
        <f>Cp!$U$35+$H$3*A20+$H$4*A20^2+$H$5*A20^3+$H$6*A20^4+$H$7*A20^5+$H$8*A20^6</f>
        <v>0.29054172211186685</v>
      </c>
      <c r="C20" s="28">
        <f>A20*Cp!$K$35</f>
        <v>12.649353816142405</v>
      </c>
      <c r="D20" s="41">
        <f>B20*Cp!$R$35*Cp!$O$34*Cp!$O$35</f>
        <v>16.297316944794641</v>
      </c>
      <c r="E20" s="38"/>
      <c r="F20" s="36">
        <f>(1-IF(A20&lt;='Profile Calcs'!$B$65,1-_xll.Spline('Profile Calcs'!$B$60:$B$65,'Profile Calcs'!$C$60:$C$65,A20,TRUE),IF(A20&gt;='Profile Calcs'!$B$68,1-_xll.Spline('Profile Calcs'!$B$68:$B$71,'Profile Calcs'!$C$68:$C$71,A20,TRUE),0)))*Cp!$O$35</f>
        <v>2.3293987629239994</v>
      </c>
      <c r="G20" s="36">
        <f>'Cwl Opt1 Calcs'!D26*2</f>
        <v>11.090603501731783</v>
      </c>
      <c r="H20" s="28"/>
      <c r="I20" s="39">
        <f t="shared" si="0"/>
        <v>0.63083690445331131</v>
      </c>
    </row>
    <row r="21" spans="1:9" x14ac:dyDescent="0.25">
      <c r="A21" s="29">
        <v>0.15</v>
      </c>
      <c r="B21" s="42">
        <f>Cp!$U$35+$H$3*A21+$H$4*A21^2+$H$5*A21^3+$H$6*A21^4+$H$7*A21^5+$H$8*A21^6</f>
        <v>0.41372513868780503</v>
      </c>
      <c r="C21" s="28">
        <f>A21*Cp!$K$35</f>
        <v>18.974030724213605</v>
      </c>
      <c r="D21" s="41">
        <f>B21*Cp!$R$35*Cp!$O$34*Cp!$O$35</f>
        <v>23.20702742523217</v>
      </c>
      <c r="E21" s="38"/>
      <c r="F21" s="36">
        <f>(1-IF(A21&lt;='Profile Calcs'!$B$65,1-_xll.Spline('Profile Calcs'!$B$60:$B$65,'Profile Calcs'!$C$60:$C$65,A21,TRUE),IF(A21&gt;='Profile Calcs'!$B$68,1-_xll.Spline('Profile Calcs'!$B$68:$B$71,'Profile Calcs'!$C$68:$C$71,A21,TRUE),0)))*Cp!$O$35</f>
        <v>3.0290664229530679</v>
      </c>
      <c r="G21" s="36">
        <f>'Cwl Opt1 Calcs'!D27*2</f>
        <v>11.70436750537379</v>
      </c>
      <c r="H21" s="28"/>
      <c r="I21" s="39">
        <f t="shared" si="0"/>
        <v>0.65458005592898005</v>
      </c>
    </row>
    <row r="22" spans="1:9" x14ac:dyDescent="0.25">
      <c r="A22" s="29">
        <v>0.2</v>
      </c>
      <c r="B22" s="42">
        <f>Cp!$U$35+$H$3*A22+$H$4*A22^2+$H$5*A22^3+$H$6*A22^4+$H$7*A22^5+$H$8*A22^6</f>
        <v>0.54045382758375449</v>
      </c>
      <c r="C22" s="28">
        <f>A22*Cp!$K$35</f>
        <v>25.29870763228481</v>
      </c>
      <c r="D22" s="41">
        <f>B22*Cp!$R$35*Cp!$O$34*Cp!$O$35</f>
        <v>30.315602379366823</v>
      </c>
      <c r="E22" s="38"/>
      <c r="F22" s="36">
        <f>(1-IF(A22&lt;='Profile Calcs'!$B$65,1-_xll.Spline('Profile Calcs'!$B$60:$B$65,'Profile Calcs'!$C$60:$C$65,A22,TRUE),IF(A22&gt;='Profile Calcs'!$B$68,1-_xll.Spline('Profile Calcs'!$B$68:$B$71,'Profile Calcs'!$C$68:$C$71,A22,TRUE),0)))*Cp!$O$35</f>
        <v>3.6644099812839293</v>
      </c>
      <c r="G22" s="36">
        <f>'Cwl Opt1 Calcs'!D28*2</f>
        <v>12.16660208476428</v>
      </c>
      <c r="H22" s="28"/>
      <c r="I22" s="39">
        <f t="shared" si="0"/>
        <v>0.67997483502319456</v>
      </c>
    </row>
    <row r="23" spans="1:9" x14ac:dyDescent="0.25">
      <c r="A23" s="29">
        <v>0.25</v>
      </c>
      <c r="B23" s="42">
        <f>Cp!$U$35+$H$3*A23+$H$4*A23^2+$H$5*A23^3+$H$6*A23^4+$H$7*A23^5+$H$8*A23^6</f>
        <v>0.66298683749971621</v>
      </c>
      <c r="C23" s="28">
        <f>A23*Cp!$K$35</f>
        <v>31.62338454035601</v>
      </c>
      <c r="D23" s="41">
        <f>B23*Cp!$R$35*Cp!$O$34*Cp!$O$35</f>
        <v>37.188829688287392</v>
      </c>
      <c r="E23" s="38"/>
      <c r="F23" s="36">
        <f>(1-IF(A23&lt;='Profile Calcs'!$B$65,1-_xll.Spline('Profile Calcs'!$B$60:$B$65,'Profile Calcs'!$C$60:$C$65,A23,TRUE),IF(A23&gt;='Profile Calcs'!$B$68,1-_xll.Spline('Profile Calcs'!$B$68:$B$71,'Profile Calcs'!$C$68:$C$71,A23,TRUE),0)))*Cp!$O$35</f>
        <v>4.1634791059956644</v>
      </c>
      <c r="G23" s="36">
        <f>'Cwl Opt1 Calcs'!D29*2</f>
        <v>12.582360052856153</v>
      </c>
      <c r="H23" s="28"/>
      <c r="I23" s="39">
        <f t="shared" si="0"/>
        <v>0.70989483008570919</v>
      </c>
    </row>
    <row r="24" spans="1:9" x14ac:dyDescent="0.25">
      <c r="A24" s="29">
        <v>0.3</v>
      </c>
      <c r="B24" s="42">
        <f>Cp!$U$35+$H$3*A24+$H$4*A24^2+$H$5*A24^3+$H$6*A24^4+$H$7*A24^5+$H$8*A24^6</f>
        <v>0.77432057561569034</v>
      </c>
      <c r="C24" s="28">
        <f>A24*Cp!$K$35</f>
        <v>37.948061448427211</v>
      </c>
      <c r="D24" s="41">
        <f>B24*Cp!$R$35*Cp!$O$34*Cp!$O$35</f>
        <v>43.433857781106987</v>
      </c>
      <c r="E24" s="38"/>
      <c r="F24" s="36">
        <f>(1-IF(A24&lt;='Profile Calcs'!$B$65,1-_xll.Spline('Profile Calcs'!$B$60:$B$65,'Profile Calcs'!$C$60:$C$65,A24,TRUE),IF(A24&gt;='Profile Calcs'!$B$68,1-_xll.Spline('Profile Calcs'!$B$68:$B$71,'Profile Calcs'!$C$68:$C$71,A24,TRUE),0)))*Cp!$O$35</f>
        <v>4.5266512129639898</v>
      </c>
      <c r="G24" s="36">
        <f>'Cwl Opt1 Calcs'!D30*2</f>
        <v>12.998921639785205</v>
      </c>
      <c r="H24" s="28"/>
      <c r="I24" s="39">
        <f>D24/(F24*G24)</f>
        <v>0.73814901855758197</v>
      </c>
    </row>
    <row r="25" spans="1:9" x14ac:dyDescent="0.25">
      <c r="A25" s="29">
        <v>0.35</v>
      </c>
      <c r="B25" s="42">
        <f>Cp!$U$35+$H$3*A25+$H$4*A25^2+$H$5*A25^3+$H$6*A25^4+$H$7*A25^5+$H$8*A25^6</f>
        <v>0.86830669151167428</v>
      </c>
      <c r="C25" s="28">
        <f>A25*Cp!$K$35</f>
        <v>44.272738356498415</v>
      </c>
      <c r="D25" s="41">
        <f>B25*Cp!$R$35*Cp!$O$34*Cp!$O$35</f>
        <v>48.705808081509268</v>
      </c>
      <c r="E25" s="38"/>
      <c r="F25" s="36">
        <f>(1-IF(A25&lt;='Profile Calcs'!$B$65,1-_xll.Spline('Profile Calcs'!$B$60:$B$65,'Profile Calcs'!$C$60:$C$65,A25,TRUE),IF(A25&gt;='Profile Calcs'!$B$68,1-_xll.Spline('Profile Calcs'!$B$68:$B$71,'Profile Calcs'!$C$68:$C$71,A25,TRUE),0)))*Cp!$O$35</f>
        <v>4.7512355825899748</v>
      </c>
      <c r="G25" s="36">
        <f>'Cwl Opt1 Calcs'!D31*2</f>
        <v>13.416544569246657</v>
      </c>
      <c r="H25" s="28"/>
      <c r="I25" s="39">
        <f>D25/(F25*G25)</f>
        <v>0.76407063785366569</v>
      </c>
    </row>
    <row r="26" spans="1:9" x14ac:dyDescent="0.25">
      <c r="A26" s="29">
        <v>0.4</v>
      </c>
      <c r="B26" s="42">
        <f>Cp!$U$35+$H$3*A26+$H$4*A26^2+$H$5*A26^3+$H$6*A26^4+$H$7*A26^5+$H$8*A26^6</f>
        <v>0.93976996108766619</v>
      </c>
      <c r="C26" s="28">
        <f>A26*Cp!$K$35</f>
        <v>50.597415264569619</v>
      </c>
      <c r="D26" s="41">
        <f>B26*Cp!$R$35*Cp!$O$34*Cp!$O$35</f>
        <v>52.714387454294894</v>
      </c>
      <c r="E26" s="38"/>
      <c r="F26" s="36">
        <f>(1-IF(A26&lt;='Profile Calcs'!$B$65,1-_xll.Spline('Profile Calcs'!$B$60:$B$65,'Profile Calcs'!$C$60:$C$65,A26,TRUE),IF(A26&gt;='Profile Calcs'!$B$68,1-_xll.Spline('Profile Calcs'!$B$68:$B$71,'Profile Calcs'!$C$68:$C$71,A26,TRUE),0)))*Cp!$O$35</f>
        <v>4.840261546851278</v>
      </c>
      <c r="G26" s="36">
        <f>'Cwl Opt1 Calcs'!D32*2</f>
        <v>13.799214134871654</v>
      </c>
      <c r="H26" s="28"/>
      <c r="I26" s="39">
        <f>D26/(F26*G26)</f>
        <v>0.78923435318491608</v>
      </c>
    </row>
    <row r="27" spans="1:9" x14ac:dyDescent="0.25">
      <c r="A27" s="29">
        <v>0.45</v>
      </c>
      <c r="B27" s="42">
        <f>Cp!$U$35+$H$3*A27+$H$4*A27^2+$H$5*A27^3+$H$6*A27^4+$H$7*A27^5+$H$8*A27^6</f>
        <v>0.98462617048366297</v>
      </c>
      <c r="C27" s="28">
        <f>A27*Cp!$K$35</f>
        <v>56.922092172640816</v>
      </c>
      <c r="D27" s="41">
        <f>B27*Cp!$R$35*Cp!$O$34*Cp!$O$35</f>
        <v>55.230500651927713</v>
      </c>
      <c r="E27" s="38"/>
      <c r="F27" s="36">
        <f>(1-IF(A27&lt;='Profile Calcs'!$B$65,1-_xll.Spline('Profile Calcs'!$B$60:$B$65,'Profile Calcs'!$C$60:$C$65,A27,TRUE),IF(A27&gt;='Profile Calcs'!$B$68,1-_xll.Spline('Profile Calcs'!$B$68:$B$71,'Profile Calcs'!$C$68:$C$71,A27,TRUE),0)))*Cp!$O$35</f>
        <v>4.8514589937413639</v>
      </c>
      <c r="G27" s="36">
        <f>'Cwl Opt1 Calcs'!D33*2</f>
        <v>14.08539327660378</v>
      </c>
      <c r="H27" s="28"/>
      <c r="I27" s="39">
        <f>D27/(F27*G27)</f>
        <v>0.80823497100602093</v>
      </c>
    </row>
    <row r="28" spans="1:9" x14ac:dyDescent="0.25">
      <c r="A28" s="29">
        <v>0.5</v>
      </c>
      <c r="B28" s="42">
        <f>Cp!$U$35+$H$3*A28+$H$4*A28^2+$H$5*A28^3+$H$6*A28^4+$H$7*A28^5+$H$8*A28^6</f>
        <v>0.99999999999966294</v>
      </c>
      <c r="C28" s="28">
        <f>A28*Cp!$K$35</f>
        <v>63.246769080712021</v>
      </c>
      <c r="D28" s="41">
        <f>B28*Cp!$R$35*Cp!$O$34*Cp!$O$35</f>
        <v>56.09286276108125</v>
      </c>
      <c r="E28" s="38"/>
      <c r="F28" s="36">
        <f>(1-IF(A28&lt;='Profile Calcs'!$B$65,1-_xll.Spline('Profile Calcs'!$B$60:$B$65,'Profile Calcs'!$C$60:$C$65,A28,TRUE),IF(A28&gt;='Profile Calcs'!$B$68,1-_xll.Spline('Profile Calcs'!$B$68:$B$71,'Profile Calcs'!$C$68:$C$71,A28,TRUE),0)))*Cp!$O$35</f>
        <v>4.8514589937413639</v>
      </c>
      <c r="G28" s="36">
        <f>'Cwl Opt1 Calcs'!D34*2</f>
        <v>14.19877265707556</v>
      </c>
      <c r="H28" s="28"/>
      <c r="I28" s="39">
        <f t="shared" ref="I28:I37" si="1">D28/(F28*G28)</f>
        <v>0.81429999999972291</v>
      </c>
    </row>
    <row r="29" spans="1:9" x14ac:dyDescent="0.25">
      <c r="A29" s="29">
        <v>0.55000000000000004</v>
      </c>
      <c r="B29" s="42">
        <f>Cp!$U$35+$H$3*A29+$H$4*A29^2+$H$5*A29^3+$H$6*A29^4+$H$7*A29^5+$H$8*A29^6</f>
        <v>0.98434290801566515</v>
      </c>
      <c r="C29" s="28">
        <f>A29*Cp!$K$35</f>
        <v>69.571445988783225</v>
      </c>
      <c r="D29" s="41">
        <f>B29*Cp!$R$35*Cp!$O$34*Cp!$O$35</f>
        <v>55.214611649184938</v>
      </c>
      <c r="E29" s="38"/>
      <c r="F29" s="36">
        <f>(1-IF(A29&lt;='Profile Calcs'!$B$65,1-_xll.Spline('Profile Calcs'!$B$60:$B$65,'Profile Calcs'!$C$60:$C$65,A29,TRUE),IF(A29&gt;='Profile Calcs'!$B$68,1-_xll.Spline('Profile Calcs'!$B$68:$B$71,'Profile Calcs'!$C$68:$C$71,A29,TRUE),0)))*Cp!$O$35</f>
        <v>4.8514589937413639</v>
      </c>
      <c r="G29" s="36">
        <f>'Cwl Opt1 Calcs'!D35*2</f>
        <v>14.059020737985005</v>
      </c>
      <c r="H29" s="28"/>
      <c r="I29" s="39">
        <f t="shared" si="1"/>
        <v>0.80951814075934814</v>
      </c>
    </row>
    <row r="30" spans="1:9" x14ac:dyDescent="0.25">
      <c r="A30" s="29">
        <v>0.6</v>
      </c>
      <c r="B30" s="42">
        <f>Cp!$U$35+$H$3*A30+$H$4*A30^2+$H$5*A30^3+$H$6*A30^4+$H$7*A30^5+$H$8*A30^6</f>
        <v>0.93755101491166903</v>
      </c>
      <c r="C30" s="28">
        <f>A30*Cp!$K$35</f>
        <v>75.896122896854422</v>
      </c>
      <c r="D30" s="41">
        <f>B30*Cp!$R$35*Cp!$O$34*Cp!$O$35</f>
        <v>52.589920410970407</v>
      </c>
      <c r="E30" s="38"/>
      <c r="F30" s="36">
        <f>(1-IF(A30&lt;='Profile Calcs'!$B$65,1-_xll.Spline('Profile Calcs'!$B$60:$B$65,'Profile Calcs'!$C$60:$C$65,A30,TRUE),IF(A30&gt;='Profile Calcs'!$B$68,1-_xll.Spline('Profile Calcs'!$B$68:$B$71,'Profile Calcs'!$C$68:$C$71,A30,TRUE),0)))*Cp!$O$35</f>
        <v>4.8514589937413639</v>
      </c>
      <c r="G30" s="36">
        <f>'Cwl Opt1 Calcs'!D36*2</f>
        <v>13.592533856472024</v>
      </c>
      <c r="H30" s="28"/>
      <c r="I30" s="39">
        <f t="shared" si="1"/>
        <v>0.79749822518029279</v>
      </c>
    </row>
    <row r="31" spans="1:9" x14ac:dyDescent="0.25">
      <c r="A31" s="29">
        <v>0.65</v>
      </c>
      <c r="B31" s="42">
        <f>Cp!$U$35+$H$3*A31+$H$4*A31^2+$H$5*A31^3+$H$6*A31^4+$H$7*A31^5+$H$8*A31^6</f>
        <v>0.86108298698767416</v>
      </c>
      <c r="C31" s="28">
        <f>A31*Cp!$K$35</f>
        <v>82.220799804925633</v>
      </c>
      <c r="D31" s="41">
        <f>B31*Cp!$R$35*Cp!$O$34*Cp!$O$35</f>
        <v>48.300609815017793</v>
      </c>
      <c r="E31" s="38"/>
      <c r="F31" s="36">
        <f>(1-IF(A31&lt;='Profile Calcs'!$B$65,1-_xll.Spline('Profile Calcs'!$B$60:$B$65,'Profile Calcs'!$C$60:$C$65,A31,TRUE),IF(A31&gt;='Profile Calcs'!$B$68,1-_xll.Spline('Profile Calcs'!$B$68:$B$71,'Profile Calcs'!$C$68:$C$71,A31,TRUE),0)))*Cp!$O$35</f>
        <v>4.8514589937413639</v>
      </c>
      <c r="G31" s="36">
        <f>'Cwl Opt1 Calcs'!D37*2</f>
        <v>12.74318630149507</v>
      </c>
      <c r="H31" s="28"/>
      <c r="I31" s="39">
        <f t="shared" si="1"/>
        <v>0.78127192209295904</v>
      </c>
    </row>
    <row r="32" spans="1:9" x14ac:dyDescent="0.25">
      <c r="A32" s="29">
        <v>0.7</v>
      </c>
      <c r="B32" s="42">
        <f>Cp!$U$35+$H$3*A32+$H$4*A32^2+$H$5*A32^3+$H$6*A32^4+$H$7*A32^5+$H$8*A32^6</f>
        <v>0.75807792038368271</v>
      </c>
      <c r="C32" s="28">
        <f>A32*Cp!$K$35</f>
        <v>88.54547671299683</v>
      </c>
      <c r="D32" s="41">
        <f>B32*Cp!$R$35*Cp!$O$34*Cp!$O$35</f>
        <v>42.522760750302112</v>
      </c>
      <c r="E32" s="38"/>
      <c r="F32" s="36">
        <f>(1-IF(A32&lt;='Profile Calcs'!$B$65,1-_xll.Spline('Profile Calcs'!$B$60:$B$65,'Profile Calcs'!$C$60:$C$65,A32,TRUE),IF(A32&gt;='Profile Calcs'!$B$68,1-_xll.Spline('Profile Calcs'!$B$68:$B$71,'Profile Calcs'!$C$68:$C$71,A32,TRUE),0)))*Cp!$O$35</f>
        <v>4.8514589937413639</v>
      </c>
      <c r="G32" s="36">
        <f>'Cwl Opt1 Calcs'!D38*2</f>
        <v>11.483080390207615</v>
      </c>
      <c r="H32" s="28"/>
      <c r="I32" s="39">
        <f t="shared" si="1"/>
        <v>0.76329195110924075</v>
      </c>
    </row>
    <row r="33" spans="1:9" x14ac:dyDescent="0.25">
      <c r="A33" s="29">
        <v>0.75</v>
      </c>
      <c r="B33" s="42">
        <f>Cp!$U$35+$H$3*A33+$H$4*A33^2+$H$5*A33^3+$H$6*A33^4+$H$7*A33^5+$H$8*A33^6</f>
        <v>0.6334732249996915</v>
      </c>
      <c r="C33" s="28">
        <f>A33*Cp!$K$35</f>
        <v>94.870153621068027</v>
      </c>
      <c r="D33" s="41">
        <f>B33*Cp!$R$35*Cp!$O$34*Cp!$O$35</f>
        <v>35.533326672739207</v>
      </c>
      <c r="E33" s="38"/>
      <c r="F33" s="36">
        <f>(1-IF(A33&lt;='Profile Calcs'!$B$65,1-_xll.Spline('Profile Calcs'!$B$60:$B$65,'Profile Calcs'!$C$60:$C$65,A33,TRUE),IF(A33&gt;='Profile Calcs'!$B$68,1-_xll.Spline('Profile Calcs'!$B$68:$B$71,'Profile Calcs'!$C$68:$C$71,A33,TRUE),0)))*Cp!$O$35</f>
        <v>4.8514589937413639</v>
      </c>
      <c r="G33" s="36">
        <f>'Cwl Opt1 Calcs'!D39*2</f>
        <v>9.8232965443344114</v>
      </c>
      <c r="H33" s="28"/>
      <c r="I33" s="39">
        <f t="shared" si="1"/>
        <v>0.74560060024796471</v>
      </c>
    </row>
    <row r="34" spans="1:9" x14ac:dyDescent="0.25">
      <c r="A34" s="29">
        <v>0.8</v>
      </c>
      <c r="B34" s="42">
        <f>Cp!$U$35+$H$3*A34+$H$4*A34^2+$H$5*A34^3+$H$6*A34^4+$H$7*A34^5+$H$8*A34^6</f>
        <v>0.49412250841570216</v>
      </c>
      <c r="C34" s="28">
        <f>A34*Cp!$K$35</f>
        <v>101.19483052913924</v>
      </c>
      <c r="D34" s="41">
        <f>B34*Cp!$R$35*Cp!$O$34*Cp!$O$35</f>
        <v>27.716746051732535</v>
      </c>
      <c r="E34" s="38"/>
      <c r="F34" s="36">
        <f>(1-IF(A34&lt;='Profile Calcs'!$B$65,1-_xll.Spline('Profile Calcs'!$B$60:$B$65,'Profile Calcs'!$C$60:$C$65,A34,TRUE),IF(A34&gt;='Profile Calcs'!$B$68,1-_xll.Spline('Profile Calcs'!$B$68:$B$71,'Profile Calcs'!$C$68:$C$71,A34,TRUE),0)))*Cp!$O$35</f>
        <v>4.8514589937413639</v>
      </c>
      <c r="G34" s="36">
        <f>'Cwl Opt1 Calcs'!D40*2</f>
        <v>7.8246433665485018</v>
      </c>
      <c r="H34" s="28"/>
      <c r="I34" s="39">
        <f t="shared" si="1"/>
        <v>0.7301386281741401</v>
      </c>
    </row>
    <row r="35" spans="1:9" x14ac:dyDescent="0.25">
      <c r="A35" s="29">
        <v>0.85</v>
      </c>
      <c r="B35" s="42">
        <f>Cp!$U$35+$H$3*A35+$H$4*A35^2+$H$5*A35^3+$H$6*A35^4+$H$7*A35^5+$H$8*A35^6</f>
        <v>0.34891345981171229</v>
      </c>
      <c r="C35" s="28">
        <f>A35*Cp!$K$35</f>
        <v>107.51950743721044</v>
      </c>
      <c r="D35" s="41">
        <f>B35*Cp!$R$35*Cp!$O$34*Cp!$O$35</f>
        <v>19.571554816719008</v>
      </c>
      <c r="E35" s="38"/>
      <c r="F35" s="36">
        <f>(1-IF(A35&lt;='Profile Calcs'!$B$65,1-_xll.Spline('Profile Calcs'!$B$60:$B$65,'Profile Calcs'!$C$60:$C$65,A35,TRUE),IF(A35&gt;='Profile Calcs'!$B$68,1-_xll.Spline('Profile Calcs'!$B$68:$B$71,'Profile Calcs'!$C$68:$C$71,A35,TRUE),0)))*Cp!$O$35</f>
        <v>4.8514589937413639</v>
      </c>
      <c r="G35" s="36">
        <f>'Cwl Opt1 Calcs'!D41*2</f>
        <v>5.6084077168472524</v>
      </c>
      <c r="H35" s="28"/>
      <c r="I35" s="39">
        <f t="shared" si="1"/>
        <v>0.71930550725435016</v>
      </c>
    </row>
    <row r="36" spans="1:9" x14ac:dyDescent="0.25">
      <c r="A36" s="29">
        <v>0.9</v>
      </c>
      <c r="B36" s="42">
        <f>Cp!$U$35+$H$3*A36+$H$4*A36^2+$H$5*A36^3+$H$6*A36^4+$H$7*A36^5+$H$8*A36^6</f>
        <v>0.20888573388771808</v>
      </c>
      <c r="C36" s="28">
        <f>A36*Cp!$K$35</f>
        <v>113.84418434528163</v>
      </c>
      <c r="D36" s="41">
        <f>B36*Cp!$R$35*Cp!$O$34*Cp!$O$35</f>
        <v>11.716998803715457</v>
      </c>
      <c r="E36" s="38"/>
      <c r="F36" s="36">
        <f>(1-IF(A36&lt;='Profile Calcs'!$B$65,1-_xll.Spline('Profile Calcs'!$B$60:$B$65,'Profile Calcs'!$C$60:$C$65,A36,TRUE),IF(A36&gt;='Profile Calcs'!$B$68,1-_xll.Spline('Profile Calcs'!$B$68:$B$71,'Profile Calcs'!$C$68:$C$71,A36,TRUE),0)))*Cp!$O$35</f>
        <v>4.8514589937413639</v>
      </c>
      <c r="G36" s="36">
        <f>'Cwl Opt1 Calcs'!D42*2</f>
        <v>3.367104788929113</v>
      </c>
      <c r="H36" s="28"/>
      <c r="I36" s="39">
        <f t="shared" si="1"/>
        <v>0.71727779792666224</v>
      </c>
    </row>
    <row r="37" spans="1:9" x14ac:dyDescent="0.25">
      <c r="A37" s="29">
        <v>0.95</v>
      </c>
      <c r="B37" s="42">
        <f>Cp!$U$35+$H$3*A37+$H$4*A37^2+$H$5*A37^3+$H$6*A37^4+$H$7*A37^5+$H$8*A37^6</f>
        <v>8.7348834783712415E-2</v>
      </c>
      <c r="C37" s="28">
        <f>A37*Cp!$K$35</f>
        <v>120.16886125335283</v>
      </c>
      <c r="D37" s="41">
        <f>B37*Cp!$R$35*Cp!$O$34*Cp!$O$35</f>
        <v>4.8996462018647922</v>
      </c>
      <c r="E37" s="38"/>
      <c r="F37" s="36">
        <f>(1-IF(A37&lt;='Profile Calcs'!$B$65,1-_xll.Spline('Profile Calcs'!$B$60:$B$65,'Profile Calcs'!$C$60:$C$65,A37,TRUE),IF(A37&gt;='Profile Calcs'!$B$68,1-_xll.Spline('Profile Calcs'!$B$68:$B$71,'Profile Calcs'!$C$68:$C$71,A37,TRUE),0)))*Cp!$O$35</f>
        <v>4.8514589937413639</v>
      </c>
      <c r="G37" s="36">
        <f>'Cwl Opt1 Calcs'!D43*2</f>
        <v>1.3752281865698679</v>
      </c>
      <c r="H37" s="28"/>
      <c r="I37" s="39">
        <f t="shared" si="1"/>
        <v>0.73437450508773749</v>
      </c>
    </row>
    <row r="38" spans="1:9" x14ac:dyDescent="0.25">
      <c r="A38" s="29">
        <v>1</v>
      </c>
      <c r="B38" s="42">
        <f>Cp!$U$35+$H$3*A38+$H$4*A38^2+$H$5*A38^3+$H$6*A38^4+$H$7*A38^5+$H$8*A38^6</f>
        <v>-3.2329694477084558E-13</v>
      </c>
      <c r="C38" s="28">
        <f>A38*Cp!$K$35</f>
        <v>126.49353816142404</v>
      </c>
      <c r="D38" s="41">
        <f>B38*Cp!$R$35*Cp!$O$34*Cp!$O$35</f>
        <v>-1.8134651154114019E-11</v>
      </c>
      <c r="E38" s="38"/>
      <c r="F38" s="36">
        <f>(1-IF(A38&lt;='Profile Calcs'!$B$65,1-_xll.Spline('Profile Calcs'!$B$60:$B$65,'Profile Calcs'!$C$60:$C$65,A38,TRUE),IF(A38&gt;='Profile Calcs'!$B$68,1-_xll.Spline('Profile Calcs'!$B$68:$B$71,'Profile Calcs'!$C$68:$C$71,A38,TRUE),0)))*Cp!$O$35</f>
        <v>0</v>
      </c>
      <c r="G38" s="36">
        <f>'Cwl Opt1 Calcs'!D44*2</f>
        <v>0</v>
      </c>
      <c r="H38" s="28"/>
      <c r="I38" s="39">
        <v>0</v>
      </c>
    </row>
  </sheetData>
  <phoneticPr fontId="1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2" workbookViewId="0">
      <selection activeCell="B22" sqref="B22"/>
    </sheetView>
  </sheetViews>
  <sheetFormatPr defaultRowHeight="15" x14ac:dyDescent="0.25"/>
  <sheetData>
    <row r="1" spans="1:14" x14ac:dyDescent="0.25">
      <c r="A1" t="s">
        <v>126</v>
      </c>
      <c r="G1" s="16" t="s">
        <v>127</v>
      </c>
    </row>
    <row r="2" spans="1:14" x14ac:dyDescent="0.25">
      <c r="A2" s="28">
        <v>1</v>
      </c>
      <c r="B2" s="28">
        <v>1</v>
      </c>
      <c r="C2" s="28">
        <v>1</v>
      </c>
      <c r="D2" s="28">
        <v>1</v>
      </c>
      <c r="E2" s="28">
        <v>1</v>
      </c>
      <c r="F2" s="28"/>
      <c r="G2" s="28">
        <f>MMULT(A8:E8,I2:I6)</f>
        <v>1.5414063999998575</v>
      </c>
      <c r="H2" s="28"/>
      <c r="I2" s="28">
        <f>-Cp!U35</f>
        <v>-8.8754E-2</v>
      </c>
    </row>
    <row r="3" spans="1:14" x14ac:dyDescent="0.25">
      <c r="A3" s="28">
        <v>0.5</v>
      </c>
      <c r="B3" s="28">
        <v>0.25</v>
      </c>
      <c r="C3" s="28">
        <v>0.125</v>
      </c>
      <c r="D3" s="28">
        <f>1/16</f>
        <v>6.25E-2</v>
      </c>
      <c r="E3" s="28">
        <f>1/32</f>
        <v>3.125E-2</v>
      </c>
      <c r="F3" s="28"/>
      <c r="G3" s="28">
        <f>MMULT(A9:E9,I2:I6)</f>
        <v>5.9982572000004382</v>
      </c>
      <c r="H3" s="28"/>
      <c r="I3" s="28">
        <f>1-Cp!U35</f>
        <v>0.911246</v>
      </c>
    </row>
    <row r="4" spans="1:14" x14ac:dyDescent="0.25">
      <c r="A4" s="28">
        <v>1</v>
      </c>
      <c r="B4" s="28">
        <v>1</v>
      </c>
      <c r="C4" s="28">
        <v>0.75</v>
      </c>
      <c r="D4" s="28">
        <v>0.5</v>
      </c>
      <c r="E4" s="28">
        <f>5/16</f>
        <v>0.3125</v>
      </c>
      <c r="F4" s="28"/>
      <c r="G4" s="28">
        <f>MMULT(A10:E10,I2:I6)</f>
        <v>-12.544140800000719</v>
      </c>
      <c r="H4" s="28"/>
      <c r="I4" s="28">
        <v>0</v>
      </c>
    </row>
    <row r="5" spans="1:14" x14ac:dyDescent="0.25">
      <c r="A5" s="28">
        <v>0.5</v>
      </c>
      <c r="B5" s="28">
        <f>1/3</f>
        <v>0.33333333333333331</v>
      </c>
      <c r="C5" s="28">
        <v>0.25</v>
      </c>
      <c r="D5" s="28">
        <v>0.2</v>
      </c>
      <c r="E5" s="28">
        <f>1/6</f>
        <v>0.16666666666666666</v>
      </c>
      <c r="F5" s="28"/>
      <c r="G5" s="28">
        <f>MMULT(A11:E11,I2:I6)</f>
        <v>1.7721520000005739</v>
      </c>
      <c r="H5" s="28"/>
      <c r="I5" s="28">
        <f>Cp!R34-Cp!U35</f>
        <v>0.51244599999999996</v>
      </c>
    </row>
    <row r="6" spans="1:14" x14ac:dyDescent="0.25">
      <c r="A6" s="28">
        <f>1/3</f>
        <v>0.33333333333333331</v>
      </c>
      <c r="B6" s="28">
        <v>0.25</v>
      </c>
      <c r="C6" s="28">
        <v>0.2</v>
      </c>
      <c r="D6" s="28">
        <f>1/6</f>
        <v>0.16666666666666666</v>
      </c>
      <c r="E6" s="28">
        <f>1/7</f>
        <v>0.14285714285714285</v>
      </c>
      <c r="F6" s="28"/>
      <c r="G6" s="28">
        <f>MMULT(A12:E12,I2:I6)</f>
        <v>3.1435711999997125</v>
      </c>
      <c r="H6" s="28"/>
      <c r="I6" s="28">
        <f>(0.5-Cp!K34/100)*Cp!R34-0.5*Cp!U35</f>
        <v>0.24897853999999997</v>
      </c>
    </row>
    <row r="7" spans="1:14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14" x14ac:dyDescent="0.25">
      <c r="A8" s="28">
        <f t="array" ref="A8:E12">MINVERSE(Data)</f>
        <v>3.00000000000027</v>
      </c>
      <c r="B8" s="28">
        <v>-16.000000000000387</v>
      </c>
      <c r="C8" s="28">
        <v>2.6666666666669556</v>
      </c>
      <c r="D8" s="28">
        <v>100.00000000000455</v>
      </c>
      <c r="E8" s="28">
        <v>-140.00000000000841</v>
      </c>
      <c r="F8" s="28"/>
      <c r="G8" s="28"/>
      <c r="H8" s="28"/>
      <c r="I8" s="28"/>
    </row>
    <row r="9" spans="1:14" x14ac:dyDescent="0.25">
      <c r="A9" s="28">
        <v>-28.000000000001904</v>
      </c>
      <c r="B9" s="28">
        <v>96.000000000002629</v>
      </c>
      <c r="C9" s="28">
        <v>-26.666666666668391</v>
      </c>
      <c r="D9" s="28">
        <v>-640.00000000002933</v>
      </c>
      <c r="E9" s="28">
        <v>980.00000000005184</v>
      </c>
      <c r="F9" s="28"/>
      <c r="G9" s="28"/>
      <c r="H9" s="28"/>
      <c r="I9" s="28"/>
    </row>
    <row r="10" spans="1:14" x14ac:dyDescent="0.25">
      <c r="A10" s="28">
        <v>90.000000000004633</v>
      </c>
      <c r="B10" s="28">
        <v>-160.00000000000645</v>
      </c>
      <c r="C10" s="28">
        <v>80.00000000000405</v>
      </c>
      <c r="D10" s="28">
        <v>1500.0000000000703</v>
      </c>
      <c r="E10" s="28">
        <v>-2520.0000000001223</v>
      </c>
      <c r="F10" s="28"/>
      <c r="G10" s="28"/>
      <c r="H10" s="28"/>
      <c r="I10" s="28"/>
    </row>
    <row r="11" spans="1:14" x14ac:dyDescent="0.25">
      <c r="A11" s="28">
        <v>-120.0000000000048</v>
      </c>
      <c r="B11" s="28">
        <v>80.000000000006821</v>
      </c>
      <c r="C11" s="28">
        <v>-93.333333333337521</v>
      </c>
      <c r="D11" s="28">
        <v>-1520.000000000073</v>
      </c>
      <c r="E11" s="28">
        <v>2800.0000000001264</v>
      </c>
      <c r="F11" s="28"/>
      <c r="G11" s="28"/>
      <c r="H11" s="28"/>
      <c r="I11" s="28"/>
    </row>
    <row r="12" spans="1:14" x14ac:dyDescent="0.25">
      <c r="A12" s="28">
        <v>56.000000000001805</v>
      </c>
      <c r="B12" s="28">
        <v>-2.6112445539184789E-12</v>
      </c>
      <c r="C12" s="28">
        <v>37.333333333334906</v>
      </c>
      <c r="D12" s="28">
        <v>560.00000000002751</v>
      </c>
      <c r="E12" s="28">
        <v>-1120.0000000000475</v>
      </c>
      <c r="F12" s="28"/>
      <c r="G12" s="28"/>
      <c r="H12" s="28"/>
      <c r="I12" s="28"/>
    </row>
    <row r="13" spans="1:14" x14ac:dyDescent="0.25">
      <c r="A13" s="28"/>
      <c r="B13" s="28"/>
      <c r="C13" s="28"/>
      <c r="D13" s="28"/>
      <c r="E13" s="28"/>
      <c r="F13" s="28"/>
      <c r="G13" s="28"/>
      <c r="H13" s="28"/>
      <c r="I13" s="28"/>
    </row>
    <row r="14" spans="1:14" x14ac:dyDescent="0.25">
      <c r="A14" s="28" t="s">
        <v>115</v>
      </c>
      <c r="B14" s="28" t="s">
        <v>118</v>
      </c>
      <c r="C14" s="28" t="s">
        <v>114</v>
      </c>
      <c r="D14" s="28" t="s">
        <v>117</v>
      </c>
      <c r="E14" s="38"/>
      <c r="F14" s="38" t="s">
        <v>100</v>
      </c>
      <c r="G14" s="38" t="s">
        <v>22</v>
      </c>
      <c r="H14" s="28"/>
      <c r="I14" s="28" t="s">
        <v>116</v>
      </c>
      <c r="K14" s="57" t="s">
        <v>136</v>
      </c>
    </row>
    <row r="15" spans="1:14" x14ac:dyDescent="0.25">
      <c r="A15" s="29">
        <v>0</v>
      </c>
      <c r="B15" s="42">
        <f>Cp!$U$35+$G$2*A15+$G$3*A15^2+$G$4*A15^3+$G$5*A15^4+$G$6*A15^5</f>
        <v>8.8754E-2</v>
      </c>
      <c r="C15" s="28">
        <f>A15*Cp!$K$35</f>
        <v>0</v>
      </c>
      <c r="D15" s="41">
        <f>B15*Cp!$R$35*Cp!$O$34*Cp!$O$35</f>
        <v>4.9784659414986825</v>
      </c>
      <c r="E15" s="38"/>
      <c r="F15" s="36">
        <f>(1-IF(A15&lt;='Profile Calcs'!$B$65,1-_xll.Spline('Profile Calcs'!$B$60:$B$65,'Profile Calcs'!$C$60:$C$65,A15,TRUE),IF(A15&gt;='Profile Calcs'!$B$68,1-_xll.Spline('Profile Calcs'!$B$68:$B$71,'Profile Calcs'!$C$68:$C$71,A15,TRUE),0)))*Cp!$O$35</f>
        <v>0.85936286996477074</v>
      </c>
      <c r="G15" s="36">
        <f>'Cwl Opt1 Calcs'!D24*2</f>
        <v>8.6349125975371877</v>
      </c>
      <c r="H15" s="28"/>
      <c r="I15" s="39">
        <f t="shared" ref="I15:I21" si="0">D15/(F15*G15)</f>
        <v>0.67090496979849901</v>
      </c>
      <c r="K15">
        <f>$G$2+2*$G$3*A15+3*$G$4*A15^2+4*$G$5*A15^3+5*$G$6*A15^4</f>
        <v>1.5414063999998575</v>
      </c>
      <c r="L15">
        <f>DEGREES(ATAN(K15))</f>
        <v>57.026179419248599</v>
      </c>
      <c r="N15" s="194"/>
    </row>
    <row r="16" spans="1:14" x14ac:dyDescent="0.25">
      <c r="A16" s="29">
        <v>0.05</v>
      </c>
      <c r="B16" s="42">
        <f>Cp!$U$35+$G$2*A16+$G$3*A16^2+$G$4*A16^3+$G$5*A16^4+$G$6*A16^5</f>
        <v>0.17926400371599385</v>
      </c>
      <c r="C16" s="28">
        <f>A16*Cp!$K$35</f>
        <v>6.3246769080712024</v>
      </c>
      <c r="D16" s="41">
        <f>B16*Cp!$R$35*Cp!$O$34*Cp!$O$35</f>
        <v>10.055431158446591</v>
      </c>
      <c r="E16" s="38"/>
      <c r="F16" s="36">
        <f>(1-IF(A16&lt;='Profile Calcs'!$B$65,1-_xll.Spline('Profile Calcs'!$B$60:$B$65,'Profile Calcs'!$C$60:$C$65,A16,TRUE),IF(A16&gt;='Profile Calcs'!$B$68,1-_xll.Spline('Profile Calcs'!$B$68:$B$71,'Profile Calcs'!$C$68:$C$71,A16,TRUE),0)))*Cp!$O$35</f>
        <v>1.6013468555422452</v>
      </c>
      <c r="G16" s="36">
        <f>'Cwl Opt1 Calcs'!D25*2</f>
        <v>10.151734601691782</v>
      </c>
      <c r="H16" s="28"/>
      <c r="I16" s="39">
        <f t="shared" si="0"/>
        <v>0.61855031207130551</v>
      </c>
      <c r="K16">
        <f t="shared" ref="K16:K35" si="1">$G$2+2*$G$3*A16+3*$G$4*A16^2+4*$G$5*A16^3+5*$G$6*A16^4</f>
        <v>2.048135376599896</v>
      </c>
      <c r="L16">
        <f t="shared" ref="L16:L35" si="2">DEGREES(ATAN(K16))</f>
        <v>63.976103727774344</v>
      </c>
    </row>
    <row r="17" spans="1:14" x14ac:dyDescent="0.25">
      <c r="A17" s="29">
        <v>0.1</v>
      </c>
      <c r="B17" s="42">
        <f>Cp!$U$35+$G$2*A17+$G$3*A17^2+$G$4*A17^3+$G$5*A17^4+$G$6*A17^5</f>
        <v>0.29054172211198948</v>
      </c>
      <c r="C17" s="28">
        <f>A17*Cp!$K$35</f>
        <v>12.649353816142405</v>
      </c>
      <c r="D17" s="41">
        <f>B17*Cp!$R$35*Cp!$O$34*Cp!$O$35</f>
        <v>16.297316944801523</v>
      </c>
      <c r="E17" s="38"/>
      <c r="F17" s="36">
        <f>(1-IF(A17&lt;='Profile Calcs'!$B$65,1-_xll.Spline('Profile Calcs'!$B$60:$B$65,'Profile Calcs'!$C$60:$C$65,A17,TRUE),IF(A17&gt;='Profile Calcs'!$B$68,1-_xll.Spline('Profile Calcs'!$B$68:$B$71,'Profile Calcs'!$C$68:$C$71,A17,TRUE),0)))*Cp!$O$35</f>
        <v>2.3293987629239994</v>
      </c>
      <c r="G17" s="36">
        <f>'Cwl Opt1 Calcs'!D26*2</f>
        <v>11.090603501731783</v>
      </c>
      <c r="H17" s="28"/>
      <c r="I17" s="39">
        <f t="shared" si="0"/>
        <v>0.63083690445357765</v>
      </c>
      <c r="K17">
        <f t="shared" si="1"/>
        <v>2.373394009599926</v>
      </c>
      <c r="L17">
        <f t="shared" si="2"/>
        <v>67.152481260741666</v>
      </c>
      <c r="N17" s="194"/>
    </row>
    <row r="18" spans="1:14" x14ac:dyDescent="0.25">
      <c r="A18" s="29">
        <v>0.15</v>
      </c>
      <c r="B18" s="42">
        <f>Cp!$U$35+$G$2*A18+$G$3*A18^2+$G$4*A18^3+$G$5*A18^4+$G$6*A18^5</f>
        <v>0.41372513868798633</v>
      </c>
      <c r="C18" s="28">
        <f>A18*Cp!$K$35</f>
        <v>18.974030724213605</v>
      </c>
      <c r="D18" s="41">
        <f>B18*Cp!$R$35*Cp!$O$34*Cp!$O$35</f>
        <v>23.207027425242345</v>
      </c>
      <c r="E18" s="38"/>
      <c r="F18" s="36">
        <f>(1-IF(A18&lt;='Profile Calcs'!$B$65,1-_xll.Spline('Profile Calcs'!$B$60:$B$65,'Profile Calcs'!$C$60:$C$65,A18,TRUE),IF(A18&gt;='Profile Calcs'!$B$68,1-_xll.Spline('Profile Calcs'!$B$68:$B$71,'Profile Calcs'!$C$68:$C$71,A18,TRUE),0)))*Cp!$O$35</f>
        <v>3.0290664229530679</v>
      </c>
      <c r="G18" s="36">
        <f>'Cwl Opt1 Calcs'!D27*2</f>
        <v>11.70436750537379</v>
      </c>
      <c r="H18" s="28"/>
      <c r="I18" s="39">
        <f t="shared" si="0"/>
        <v>0.65458005592926705</v>
      </c>
      <c r="K18">
        <f t="shared" si="1"/>
        <v>2.5260352725999478</v>
      </c>
      <c r="L18">
        <f t="shared" si="2"/>
        <v>68.402512175673152</v>
      </c>
    </row>
    <row r="19" spans="1:14" x14ac:dyDescent="0.25">
      <c r="A19" s="29">
        <v>0.2</v>
      </c>
      <c r="B19" s="42">
        <f>Cp!$U$35+$G$2*A19+$G$3*A19^2+$G$4*A19^3+$G$5*A19^4+$G$6*A19^5</f>
        <v>0.54045382758398408</v>
      </c>
      <c r="C19" s="28">
        <f>A19*Cp!$K$35</f>
        <v>25.29870763228481</v>
      </c>
      <c r="D19" s="41">
        <f>B19*Cp!$R$35*Cp!$O$34*Cp!$O$35</f>
        <v>30.315602379379698</v>
      </c>
      <c r="E19" s="38"/>
      <c r="F19" s="36">
        <f>(1-IF(A19&lt;='Profile Calcs'!$B$65,1-_xll.Spline('Profile Calcs'!$B$60:$B$65,'Profile Calcs'!$C$60:$C$65,A19,TRUE),IF(A19&gt;='Profile Calcs'!$B$68,1-_xll.Spline('Profile Calcs'!$B$68:$B$71,'Profile Calcs'!$C$68:$C$71,A19,TRUE),0)))*Cp!$O$35</f>
        <v>3.6644099812839293</v>
      </c>
      <c r="G19" s="36">
        <f>'Cwl Opt1 Calcs'!D28*2</f>
        <v>12.16660208476428</v>
      </c>
      <c r="H19" s="28"/>
      <c r="I19" s="39">
        <f t="shared" si="0"/>
        <v>0.67997483502348333</v>
      </c>
      <c r="K19">
        <f t="shared" si="1"/>
        <v>2.5172698175999622</v>
      </c>
      <c r="L19">
        <f t="shared" si="2"/>
        <v>68.334263368599466</v>
      </c>
    </row>
    <row r="20" spans="1:14" x14ac:dyDescent="0.25">
      <c r="A20" s="29">
        <v>0.25</v>
      </c>
      <c r="B20" s="42">
        <f>Cp!$U$35+$G$2*A20+$G$3*A20^2+$G$4*A20^3+$G$5*A20^4+$G$6*A20^5</f>
        <v>0.66298683749998255</v>
      </c>
      <c r="C20" s="28">
        <f>A20*Cp!$K$35</f>
        <v>31.62338454035601</v>
      </c>
      <c r="D20" s="41">
        <f>B20*Cp!$R$35*Cp!$O$34*Cp!$O$35</f>
        <v>37.188829688302327</v>
      </c>
      <c r="E20" s="38"/>
      <c r="F20" s="36">
        <f>(1-IF(A20&lt;='Profile Calcs'!$B$65,1-_xll.Spline('Profile Calcs'!$B$60:$B$65,'Profile Calcs'!$C$60:$C$65,A20,TRUE),IF(A20&gt;='Profile Calcs'!$B$68,1-_xll.Spline('Profile Calcs'!$B$68:$B$71,'Profile Calcs'!$C$68:$C$71,A20,TRUE),0)))*Cp!$O$35</f>
        <v>4.1634791059956644</v>
      </c>
      <c r="G20" s="36">
        <f>'Cwl Opt1 Calcs'!D29*2</f>
        <v>12.582360052856153</v>
      </c>
      <c r="H20" s="28"/>
      <c r="I20" s="39">
        <f t="shared" si="0"/>
        <v>0.7098948300859943</v>
      </c>
      <c r="K20">
        <f t="shared" si="1"/>
        <v>2.3606659749999723</v>
      </c>
      <c r="L20">
        <f t="shared" si="2"/>
        <v>67.042033751832207</v>
      </c>
    </row>
    <row r="21" spans="1:14" x14ac:dyDescent="0.25">
      <c r="A21" s="29">
        <v>0.3</v>
      </c>
      <c r="B21" s="42">
        <f>Cp!$U$35+$G$2*A21+$G$3*A21^2+$G$4*A21^3+$G$5*A21^4+$G$6*A21^5</f>
        <v>0.77432057561598133</v>
      </c>
      <c r="C21" s="28">
        <f>A21*Cp!$K$35</f>
        <v>37.948061448427211</v>
      </c>
      <c r="D21" s="41">
        <f>B21*Cp!$R$35*Cp!$O$34*Cp!$O$35</f>
        <v>43.433857781123315</v>
      </c>
      <c r="E21" s="38"/>
      <c r="F21" s="36">
        <f>(1-IF(A21&lt;='Profile Calcs'!$B$65,1-_xll.Spline('Profile Calcs'!$B$60:$B$65,'Profile Calcs'!$C$60:$C$65,A21,TRUE),IF(A21&gt;='Profile Calcs'!$B$68,1-_xll.Spline('Profile Calcs'!$B$68:$B$71,'Profile Calcs'!$C$68:$C$71,A21,TRUE),0)))*Cp!$O$35</f>
        <v>4.5266512129639898</v>
      </c>
      <c r="G21" s="36">
        <f>'Cwl Opt1 Calcs'!D30*2</f>
        <v>12.998921639785205</v>
      </c>
      <c r="H21" s="28"/>
      <c r="I21" s="39">
        <f t="shared" si="0"/>
        <v>0.73814901855785942</v>
      </c>
      <c r="K21">
        <f t="shared" si="1"/>
        <v>2.0721497535999767</v>
      </c>
      <c r="L21">
        <f t="shared" si="2"/>
        <v>64.238480061309701</v>
      </c>
    </row>
    <row r="22" spans="1:14" x14ac:dyDescent="0.25">
      <c r="A22" s="29">
        <v>0.35</v>
      </c>
      <c r="B22" s="42">
        <f>Cp!$U$35+$G$2*A22+$G$3*A22^2+$G$4*A22^3+$G$5*A22^4+$G$6*A22^5</f>
        <v>0.86830669151197992</v>
      </c>
      <c r="C22" s="28">
        <f>A22*Cp!$K$35</f>
        <v>44.272738356498415</v>
      </c>
      <c r="D22" s="41">
        <f>B22*Cp!$R$35*Cp!$O$34*Cp!$O$35</f>
        <v>48.705808081526406</v>
      </c>
      <c r="E22" s="38"/>
      <c r="F22" s="36">
        <f>(1-IF(A22&lt;='Profile Calcs'!$B$65,1-_xll.Spline('Profile Calcs'!$B$60:$B$65,'Profile Calcs'!$C$60:$C$65,A22,TRUE),IF(A22&gt;='Profile Calcs'!$B$68,1-_xll.Spline('Profile Calcs'!$B$68:$B$71,'Profile Calcs'!$C$68:$C$71,A22,TRUE),0)))*Cp!$O$35</f>
        <v>4.7512355825899748</v>
      </c>
      <c r="G22" s="36">
        <f>'Cwl Opt1 Calcs'!D31*2</f>
        <v>13.416544569246657</v>
      </c>
      <c r="H22" s="28"/>
      <c r="I22" s="39">
        <f t="shared" ref="I22:I29" si="3">D22/(F22*G22)</f>
        <v>0.76407063785393448</v>
      </c>
      <c r="K22">
        <f t="shared" si="1"/>
        <v>1.6700048405999766</v>
      </c>
      <c r="L22">
        <f t="shared" si="2"/>
        <v>59.086797517311219</v>
      </c>
    </row>
    <row r="23" spans="1:14" x14ac:dyDescent="0.25">
      <c r="A23" s="29">
        <v>0.4</v>
      </c>
      <c r="B23" s="42">
        <f>Cp!$U$35+$G$2*A23+$G$3*A23^2+$G$4*A23^3+$G$5*A23^4+$G$6*A23^5</f>
        <v>0.93976996108797883</v>
      </c>
      <c r="C23" s="28">
        <f>A23*Cp!$K$35</f>
        <v>50.597415264569619</v>
      </c>
      <c r="D23" s="41">
        <f>B23*Cp!$R$35*Cp!$O$34*Cp!$O$35</f>
        <v>52.714387454312423</v>
      </c>
      <c r="E23" s="38"/>
      <c r="F23" s="36">
        <f>(1-IF(A23&lt;='Profile Calcs'!$B$65,1-_xll.Spline('Profile Calcs'!$B$60:$B$65,'Profile Calcs'!$C$60:$C$65,A23,TRUE),IF(A23&gt;='Profile Calcs'!$B$68,1-_xll.Spline('Profile Calcs'!$B$68:$B$71,'Profile Calcs'!$C$68:$C$71,A23,TRUE),0)))*Cp!$O$35</f>
        <v>4.840261546851278</v>
      </c>
      <c r="G23" s="36">
        <f>'Cwl Opt1 Calcs'!D32*2</f>
        <v>13.799214134871654</v>
      </c>
      <c r="H23" s="28"/>
      <c r="I23" s="39">
        <f t="shared" si="3"/>
        <v>0.78923435318517854</v>
      </c>
      <c r="K23">
        <f t="shared" si="1"/>
        <v>1.1748726015999726</v>
      </c>
      <c r="L23">
        <f t="shared" si="2"/>
        <v>49.597029307788475</v>
      </c>
    </row>
    <row r="24" spans="1:14" x14ac:dyDescent="0.25">
      <c r="A24" s="29">
        <v>0.45</v>
      </c>
      <c r="B24" s="42">
        <f>Cp!$U$35+$G$2*A24+$G$3*A24^2+$G$4*A24^3+$G$5*A24^4+$G$6*A24^5</f>
        <v>0.98462617048397738</v>
      </c>
      <c r="C24" s="28">
        <f>A24*Cp!$K$35</f>
        <v>56.922092172640816</v>
      </c>
      <c r="D24" s="41">
        <f>B24*Cp!$R$35*Cp!$O$34*Cp!$O$35</f>
        <v>55.230500651945341</v>
      </c>
      <c r="E24" s="38"/>
      <c r="F24" s="36">
        <f>(1-IF(A24&lt;='Profile Calcs'!$B$65,1-_xll.Spline('Profile Calcs'!$B$60:$B$65,'Profile Calcs'!$C$60:$C$65,A24,TRUE),IF(A24&gt;='Profile Calcs'!$B$68,1-_xll.Spline('Profile Calcs'!$B$68:$B$71,'Profile Calcs'!$C$68:$C$71,A24,TRUE),0)))*Cp!$O$35</f>
        <v>4.8514589937413639</v>
      </c>
      <c r="G24" s="36">
        <f>'Cwl Opt1 Calcs'!D33*2</f>
        <v>14.08539327660378</v>
      </c>
      <c r="H24" s="28"/>
      <c r="I24" s="39">
        <f t="shared" si="3"/>
        <v>0.80823497100627884</v>
      </c>
      <c r="K24">
        <f t="shared" si="1"/>
        <v>0.60975208059996555</v>
      </c>
      <c r="L24">
        <f t="shared" si="2"/>
        <v>31.372837364263514</v>
      </c>
    </row>
    <row r="25" spans="1:14" x14ac:dyDescent="0.25">
      <c r="A25" s="29">
        <v>0.5</v>
      </c>
      <c r="B25" s="42">
        <f>Cp!$U$35+$G$2*A25+$G$3*A25^2+$G$4*A25^3+$G$5*A25^4+$G$6*A25^5</f>
        <v>0.99999999999997513</v>
      </c>
      <c r="C25" s="28">
        <f>A25*Cp!$K$35</f>
        <v>63.246769080712021</v>
      </c>
      <c r="D25" s="41">
        <f>B25*Cp!$R$35*Cp!$O$34*Cp!$O$35</f>
        <v>56.092862761098758</v>
      </c>
      <c r="E25" s="38"/>
      <c r="F25" s="36">
        <f>(1-IF(A25&lt;='Profile Calcs'!$B$65,1-_xll.Spline('Profile Calcs'!$B$60:$B$65,'Profile Calcs'!$C$60:$C$65,A25,TRUE),IF(A25&gt;='Profile Calcs'!$B$68,1-_xll.Spline('Profile Calcs'!$B$68:$B$71,'Profile Calcs'!$C$68:$C$71,A25,TRUE),0)))*Cp!$O$35</f>
        <v>4.8514589937413639</v>
      </c>
      <c r="G25" s="36">
        <f>'Cwl Opt1 Calcs'!D34*2</f>
        <v>14.19877265707556</v>
      </c>
      <c r="H25" s="28"/>
      <c r="I25" s="39">
        <f t="shared" si="3"/>
        <v>0.81429999999997704</v>
      </c>
      <c r="K25">
        <f t="shared" si="1"/>
        <v>-4.6185277824406512E-14</v>
      </c>
      <c r="L25">
        <f t="shared" si="2"/>
        <v>-2.6462214949776462E-12</v>
      </c>
    </row>
    <row r="26" spans="1:14" x14ac:dyDescent="0.25">
      <c r="A26" s="29">
        <v>0.55000000000000004</v>
      </c>
      <c r="B26" s="42">
        <f>Cp!$U$35+$G$2*A26+$G$3*A26^2+$G$4*A26^3+$G$5*A26^4+$G$6*A26^5</f>
        <v>0.98434290801597268</v>
      </c>
      <c r="C26" s="28">
        <f>A26*Cp!$K$35</f>
        <v>69.571445988783225</v>
      </c>
      <c r="D26" s="41">
        <f>B26*Cp!$R$35*Cp!$O$34*Cp!$O$35</f>
        <v>55.214611649202183</v>
      </c>
      <c r="E26" s="38"/>
      <c r="F26" s="36">
        <f>(1-IF(A26&lt;='Profile Calcs'!$B$65,1-_xll.Spline('Profile Calcs'!$B$60:$B$65,'Profile Calcs'!$C$60:$C$65,A26,TRUE),IF(A26&gt;='Profile Calcs'!$B$68,1-_xll.Spline('Profile Calcs'!$B$68:$B$71,'Profile Calcs'!$C$68:$C$71,A26,TRUE),0)))*Cp!$O$35</f>
        <v>4.8514589937413639</v>
      </c>
      <c r="G26" s="36">
        <f>'Cwl Opt1 Calcs'!D35*2</f>
        <v>14.059020737985005</v>
      </c>
      <c r="H26" s="28"/>
      <c r="I26" s="39">
        <f t="shared" si="3"/>
        <v>0.80951814075960105</v>
      </c>
      <c r="K26">
        <f t="shared" si="1"/>
        <v>-0.6266692394000617</v>
      </c>
      <c r="L26">
        <f t="shared" si="2"/>
        <v>-32.074106716766508</v>
      </c>
    </row>
    <row r="27" spans="1:14" x14ac:dyDescent="0.25">
      <c r="A27" s="29">
        <v>0.6</v>
      </c>
      <c r="B27" s="42">
        <f>Cp!$U$35+$G$2*A27+$G$3*A27^2+$G$4*A27^3+$G$5*A27^4+$G$6*A27^5</f>
        <v>0.93755101491196891</v>
      </c>
      <c r="C27" s="28">
        <f>A27*Cp!$K$35</f>
        <v>75.896122896854422</v>
      </c>
      <c r="D27" s="41">
        <f>B27*Cp!$R$35*Cp!$O$34*Cp!$O$35</f>
        <v>52.589920410987226</v>
      </c>
      <c r="E27" s="38"/>
      <c r="F27" s="36">
        <f>(1-IF(A27&lt;='Profile Calcs'!$B$65,1-_xll.Spline('Profile Calcs'!$B$60:$B$65,'Profile Calcs'!$C$60:$C$65,A27,TRUE),IF(A27&gt;='Profile Calcs'!$B$68,1-_xll.Spline('Profile Calcs'!$B$68:$B$71,'Profile Calcs'!$C$68:$C$71,A27,TRUE),0)))*Cp!$O$35</f>
        <v>4.8514589937413639</v>
      </c>
      <c r="G27" s="36">
        <f>'Cwl Opt1 Calcs'!D36*2</f>
        <v>13.592533856472024</v>
      </c>
      <c r="H27" s="28"/>
      <c r="I27" s="39">
        <f t="shared" si="3"/>
        <v>0.7974982251805478</v>
      </c>
      <c r="K27">
        <f t="shared" si="1"/>
        <v>-1.2401835584000827</v>
      </c>
      <c r="L27">
        <f t="shared" si="2"/>
        <v>-51.119647709705205</v>
      </c>
    </row>
    <row r="28" spans="1:14" x14ac:dyDescent="0.25">
      <c r="A28" s="29">
        <v>0.65</v>
      </c>
      <c r="B28" s="42">
        <f>Cp!$U$35+$G$2*A28+$G$3*A28^2+$G$4*A28^3+$G$5*A28^4+$G$6*A28^5</f>
        <v>0.86108298698796415</v>
      </c>
      <c r="C28" s="28">
        <f>A28*Cp!$K$35</f>
        <v>82.220799804925633</v>
      </c>
      <c r="D28" s="41">
        <f>B28*Cp!$R$35*Cp!$O$34*Cp!$O$35</f>
        <v>48.300609815034058</v>
      </c>
      <c r="E28" s="38"/>
      <c r="F28" s="36">
        <f>(1-IF(A28&lt;='Profile Calcs'!$B$65,1-_xll.Spline('Profile Calcs'!$B$60:$B$65,'Profile Calcs'!$C$60:$C$65,A28,TRUE),IF(A28&gt;='Profile Calcs'!$B$68,1-_xll.Spline('Profile Calcs'!$B$68:$B$71,'Profile Calcs'!$C$68:$C$71,A28,TRUE),0)))*Cp!$O$35</f>
        <v>4.8514589937413639</v>
      </c>
      <c r="G28" s="36">
        <f>'Cwl Opt1 Calcs'!D37*2</f>
        <v>12.74318630149507</v>
      </c>
      <c r="H28" s="28"/>
      <c r="I28" s="39">
        <f t="shared" si="3"/>
        <v>0.78127192209322216</v>
      </c>
      <c r="K28">
        <f t="shared" si="1"/>
        <v>-1.8081131994001107</v>
      </c>
      <c r="L28">
        <f t="shared" si="2"/>
        <v>-61.054654376414398</v>
      </c>
    </row>
    <row r="29" spans="1:14" x14ac:dyDescent="0.25">
      <c r="A29" s="29">
        <v>0.7</v>
      </c>
      <c r="B29" s="42">
        <f>Cp!$U$35+$G$2*A29+$G$3*A29^2+$G$4*A29^3+$G$5*A29^4+$G$6*A29^5</f>
        <v>0.75807792038395738</v>
      </c>
      <c r="C29" s="28">
        <f>A29*Cp!$K$35</f>
        <v>88.54547671299683</v>
      </c>
      <c r="D29" s="41">
        <f>B29*Cp!$R$35*Cp!$O$34*Cp!$O$35</f>
        <v>42.522760750317524</v>
      </c>
      <c r="E29" s="38"/>
      <c r="F29" s="36">
        <f>(1-IF(A29&lt;='Profile Calcs'!$B$65,1-_xll.Spline('Profile Calcs'!$B$60:$B$65,'Profile Calcs'!$C$60:$C$65,A29,TRUE),IF(A29&gt;='Profile Calcs'!$B$68,1-_xll.Spline('Profile Calcs'!$B$68:$B$71,'Profile Calcs'!$C$68:$C$71,A29,TRUE),0)))*Cp!$O$35</f>
        <v>4.8514589937413639</v>
      </c>
      <c r="G29" s="36">
        <f>'Cwl Opt1 Calcs'!D38*2</f>
        <v>11.483080390207615</v>
      </c>
      <c r="H29" s="28"/>
      <c r="I29" s="39">
        <f t="shared" si="3"/>
        <v>0.76329195110951742</v>
      </c>
      <c r="K29">
        <f t="shared" si="1"/>
        <v>-2.2956707264001452</v>
      </c>
      <c r="L29">
        <f t="shared" si="2"/>
        <v>-66.461936333454304</v>
      </c>
    </row>
    <row r="30" spans="1:14" x14ac:dyDescent="0.25">
      <c r="A30" s="29">
        <v>0.75</v>
      </c>
      <c r="B30" s="42">
        <f>Cp!$U$35+$G$2*A30+$G$3*A30^2+$G$4*A30^3+$G$5*A30^4+$G$6*A30^5</f>
        <v>0.63347322499994951</v>
      </c>
      <c r="C30" s="28">
        <f>A30*Cp!$K$35</f>
        <v>94.870153621068027</v>
      </c>
      <c r="D30" s="41">
        <f>B30*Cp!$R$35*Cp!$O$34*Cp!$O$35</f>
        <v>35.533326672753688</v>
      </c>
      <c r="E30" s="38"/>
      <c r="F30" s="36">
        <f>(1-IF(A30&lt;='Profile Calcs'!$B$65,1-_xll.Spline('Profile Calcs'!$B$60:$B$65,'Profile Calcs'!$C$60:$C$65,A30,TRUE),IF(A30&gt;='Profile Calcs'!$B$68,1-_xll.Spline('Profile Calcs'!$B$68:$B$71,'Profile Calcs'!$C$68:$C$71,A30,TRUE),0)))*Cp!$O$35</f>
        <v>4.8514589937413639</v>
      </c>
      <c r="G30" s="36">
        <f>'Cwl Opt1 Calcs'!D39*2</f>
        <v>9.8232965443344114</v>
      </c>
      <c r="H30" s="28"/>
      <c r="I30" s="39">
        <f>D30/(F30*G30)</f>
        <v>0.74560060024826857</v>
      </c>
      <c r="K30">
        <f t="shared" si="1"/>
        <v>-2.6657110250001841</v>
      </c>
      <c r="L30">
        <f t="shared" si="2"/>
        <v>-69.437202136851525</v>
      </c>
    </row>
    <row r="31" spans="1:14" x14ac:dyDescent="0.25">
      <c r="A31" s="29">
        <v>0.8</v>
      </c>
      <c r="B31" s="42">
        <f>Cp!$U$35+$G$2*A31+$G$3*A31^2+$G$4*A31^3+$G$5*A31^4+$G$6*A31^5</f>
        <v>0.49412250841593885</v>
      </c>
      <c r="C31" s="28">
        <f>A31*Cp!$K$35</f>
        <v>101.19483052913924</v>
      </c>
      <c r="D31" s="41">
        <f>B31*Cp!$R$35*Cp!$O$34*Cp!$O$35</f>
        <v>27.716746051745812</v>
      </c>
      <c r="E31" s="38"/>
      <c r="F31" s="36">
        <f>(1-IF(A31&lt;='Profile Calcs'!$B$65,1-_xll.Spline('Profile Calcs'!$B$60:$B$65,'Profile Calcs'!$C$60:$C$65,A31,TRUE),IF(A31&gt;='Profile Calcs'!$B$68,1-_xll.Spline('Profile Calcs'!$B$68:$B$71,'Profile Calcs'!$C$68:$C$71,A31,TRUE),0)))*Cp!$O$35</f>
        <v>4.8514589937413639</v>
      </c>
      <c r="G31" s="36">
        <f>'Cwl Opt1 Calcs'!D40*2</f>
        <v>7.8246433665485018</v>
      </c>
      <c r="H31" s="28"/>
      <c r="I31" s="39">
        <f>D31/(F31*G31)</f>
        <v>0.73013862817448982</v>
      </c>
      <c r="K31">
        <f t="shared" si="1"/>
        <v>-2.8787313024002357</v>
      </c>
      <c r="L31">
        <f t="shared" si="2"/>
        <v>-70.844038518423076</v>
      </c>
    </row>
    <row r="32" spans="1:14" x14ac:dyDescent="0.25">
      <c r="A32" s="29">
        <v>0.85</v>
      </c>
      <c r="B32" s="42">
        <f>Cp!$U$35+$G$2*A32+$G$3*A32^2+$G$4*A32^3+$G$5*A32^4+$G$6*A32^5</f>
        <v>0.34891345981192567</v>
      </c>
      <c r="C32" s="28">
        <f>A32*Cp!$K$35</f>
        <v>107.51950743721044</v>
      </c>
      <c r="D32" s="41">
        <f>B32*Cp!$R$35*Cp!$O$34*Cp!$O$35</f>
        <v>19.571554816730977</v>
      </c>
      <c r="E32" s="38"/>
      <c r="F32" s="36">
        <f>(1-IF(A32&lt;='Profile Calcs'!$B$65,1-_xll.Spline('Profile Calcs'!$B$60:$B$65,'Profile Calcs'!$C$60:$C$65,A32,TRUE),IF(A32&gt;='Profile Calcs'!$B$68,1-_xll.Spline('Profile Calcs'!$B$68:$B$71,'Profile Calcs'!$C$68:$C$71,A32,TRUE),0)))*Cp!$O$35</f>
        <v>4.8514589937413639</v>
      </c>
      <c r="G32" s="36">
        <f>'Cwl Opt1 Calcs'!D41*2</f>
        <v>5.6084077168472524</v>
      </c>
      <c r="H32" s="28"/>
      <c r="I32" s="39">
        <f>D32/(F32*G32)</f>
        <v>0.71930550725479003</v>
      </c>
      <c r="K32">
        <f t="shared" si="1"/>
        <v>-2.8928710874002945</v>
      </c>
      <c r="L32">
        <f t="shared" si="2"/>
        <v>-70.930891743068926</v>
      </c>
    </row>
    <row r="33" spans="1:12" x14ac:dyDescent="0.25">
      <c r="A33" s="29">
        <v>0.9</v>
      </c>
      <c r="B33" s="42">
        <f>Cp!$U$35+$G$2*A33+$G$3*A33^2+$G$4*A33^3+$G$5*A33^4+$G$6*A33^5</f>
        <v>0.20888573388790999</v>
      </c>
      <c r="C33" s="28">
        <f>A33*Cp!$K$35</f>
        <v>113.84418434528163</v>
      </c>
      <c r="D33" s="41">
        <f>B33*Cp!$R$35*Cp!$O$34*Cp!$O$35</f>
        <v>11.71699880372622</v>
      </c>
      <c r="E33" s="38"/>
      <c r="F33" s="36">
        <f>(1-IF(A33&lt;='Profile Calcs'!$B$65,1-_xll.Spline('Profile Calcs'!$B$60:$B$65,'Profile Calcs'!$C$60:$C$65,A33,TRUE),IF(A33&gt;='Profile Calcs'!$B$68,1-_xll.Spline('Profile Calcs'!$B$68:$B$71,'Profile Calcs'!$C$68:$C$71,A33,TRUE),0)))*Cp!$O$35</f>
        <v>4.8514589937413639</v>
      </c>
      <c r="G33" s="36">
        <f>'Cwl Opt1 Calcs'!D42*2</f>
        <v>3.367104788929113</v>
      </c>
      <c r="H33" s="28"/>
      <c r="I33" s="39">
        <f>D33/(F33*G33)</f>
        <v>0.71727779792732105</v>
      </c>
      <c r="K33">
        <f t="shared" si="1"/>
        <v>-2.6639122304003671</v>
      </c>
      <c r="L33">
        <f t="shared" si="2"/>
        <v>-69.424480184538879</v>
      </c>
    </row>
    <row r="34" spans="1:12" x14ac:dyDescent="0.25">
      <c r="A34" s="29">
        <v>0.95</v>
      </c>
      <c r="B34" s="42">
        <f>Cp!$U$35+$G$2*A34+$G$3*A34^2+$G$4*A34^3+$G$5*A34^4+$G$6*A34^5</f>
        <v>8.7348834783889551E-2</v>
      </c>
      <c r="C34" s="28">
        <f>A34*Cp!$K$35</f>
        <v>120.16886125335283</v>
      </c>
      <c r="D34" s="41">
        <f>B34*Cp!$R$35*Cp!$O$34*Cp!$O$35</f>
        <v>4.8996462018747273</v>
      </c>
      <c r="E34" s="38"/>
      <c r="F34" s="36">
        <f>(1-IF(A34&lt;='Profile Calcs'!$B$65,1-_xll.Spline('Profile Calcs'!$B$60:$B$65,'Profile Calcs'!$C$60:$C$65,A34,TRUE),IF(A34&gt;='Profile Calcs'!$B$68,1-_xll.Spline('Profile Calcs'!$B$68:$B$71,'Profile Calcs'!$C$68:$C$71,A34,TRUE),0)))*Cp!$O$35</f>
        <v>4.8514589937413639</v>
      </c>
      <c r="G34" s="36">
        <f>'Cwl Opt1 Calcs'!D43*2</f>
        <v>1.3752281865698679</v>
      </c>
      <c r="H34" s="28"/>
      <c r="I34" s="39">
        <f>D34/(F34*G34)</f>
        <v>0.73437450508922664</v>
      </c>
      <c r="K34">
        <f t="shared" si="1"/>
        <v>-2.1452789034004613</v>
      </c>
      <c r="L34">
        <f t="shared" si="2"/>
        <v>-65.007897659902767</v>
      </c>
    </row>
    <row r="35" spans="1:12" x14ac:dyDescent="0.25">
      <c r="A35" s="29">
        <v>1</v>
      </c>
      <c r="B35" s="42">
        <f>Cp!$U$35+$G$2*A35+$G$3*A35^2+$G$4*A35^3+$G$5*A35^4+$G$6*A35^5</f>
        <v>-1.3677947663381929E-13</v>
      </c>
      <c r="C35" s="28">
        <f>A35*Cp!$K$35</f>
        <v>126.49353816142404</v>
      </c>
      <c r="D35" s="41">
        <f>B35*Cp!$R$35*Cp!$O$34*Cp!$O$35</f>
        <v>-7.6723524113559299E-12</v>
      </c>
      <c r="E35" s="38"/>
      <c r="F35" s="36">
        <f>(1-IF(A35&lt;='Profile Calcs'!$B$65,1-_xll.Spline('Profile Calcs'!$B$60:$B$65,'Profile Calcs'!$C$60:$C$65,A35,TRUE),IF(A35&gt;='Profile Calcs'!$B$68,1-_xll.Spline('Profile Calcs'!$B$68:$B$71,'Profile Calcs'!$C$68:$C$71,A35,TRUE),0)))*Cp!$O$35</f>
        <v>0</v>
      </c>
      <c r="G35" s="36">
        <f>'Cwl Opt1 Calcs'!D44*2</f>
        <v>0</v>
      </c>
      <c r="H35" s="28"/>
      <c r="I35" s="39">
        <v>0</v>
      </c>
      <c r="K35">
        <f t="shared" si="1"/>
        <v>-1.288037600000564</v>
      </c>
      <c r="L35">
        <f t="shared" si="2"/>
        <v>-52.175134438616958</v>
      </c>
    </row>
  </sheetData>
  <phoneticPr fontId="1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topLeftCell="A9" workbookViewId="0">
      <selection activeCell="B22" sqref="B22"/>
    </sheetView>
  </sheetViews>
  <sheetFormatPr defaultRowHeight="12.75" x14ac:dyDescent="0.2"/>
  <cols>
    <col min="1" max="10" width="9.140625" style="28"/>
    <col min="11" max="11" width="13.140625" style="28" bestFit="1" customWidth="1"/>
    <col min="12" max="16384" width="9.140625" style="28"/>
  </cols>
  <sheetData>
    <row r="1" spans="1:9" x14ac:dyDescent="0.2">
      <c r="A1" s="28" t="s">
        <v>102</v>
      </c>
    </row>
    <row r="2" spans="1:9" x14ac:dyDescent="0.2">
      <c r="A2" s="28" t="s">
        <v>101</v>
      </c>
      <c r="B2" s="28">
        <f>Inputs!B3</f>
        <v>126.49353816142404</v>
      </c>
    </row>
    <row r="3" spans="1:9" x14ac:dyDescent="0.2">
      <c r="A3" s="28" t="s">
        <v>96</v>
      </c>
      <c r="B3" s="28">
        <f>Cwl!D40</f>
        <v>6.5301</v>
      </c>
    </row>
    <row r="4" spans="1:9" x14ac:dyDescent="0.2">
      <c r="A4" s="28" t="s">
        <v>22</v>
      </c>
      <c r="B4" s="28">
        <f>Inputs!B4</f>
        <v>14.19877265707551</v>
      </c>
    </row>
    <row r="5" spans="1:9" x14ac:dyDescent="0.2">
      <c r="A5" s="28" t="s">
        <v>95</v>
      </c>
      <c r="B5" s="28">
        <f>Inputs!B16</f>
        <v>0.74170000000000003</v>
      </c>
    </row>
    <row r="6" spans="1:9" x14ac:dyDescent="0.2">
      <c r="A6" s="28" t="s">
        <v>92</v>
      </c>
      <c r="B6" s="28">
        <f>B4*B8</f>
        <v>8.6349125975371877</v>
      </c>
    </row>
    <row r="8" spans="1:9" x14ac:dyDescent="0.2">
      <c r="A8" s="28" t="s">
        <v>90</v>
      </c>
      <c r="B8" s="28">
        <f>Inputs!B17</f>
        <v>0.60814500000000005</v>
      </c>
    </row>
    <row r="9" spans="1:9" x14ac:dyDescent="0.2">
      <c r="A9" s="28" t="s">
        <v>120</v>
      </c>
      <c r="B9" s="28">
        <f>B3</f>
        <v>6.5301</v>
      </c>
    </row>
    <row r="11" spans="1:9" x14ac:dyDescent="0.2">
      <c r="A11" s="28">
        <v>1</v>
      </c>
      <c r="B11" s="28">
        <v>1</v>
      </c>
      <c r="C11" s="28">
        <v>1</v>
      </c>
      <c r="D11" s="28">
        <v>1</v>
      </c>
      <c r="E11" s="28">
        <v>1</v>
      </c>
      <c r="G11" s="28">
        <f>MMULT(A17:E17,I11:I15)</f>
        <v>2.6932602380001409</v>
      </c>
      <c r="I11" s="28">
        <f>-B8</f>
        <v>-0.60814500000000005</v>
      </c>
    </row>
    <row r="12" spans="1:9" x14ac:dyDescent="0.2">
      <c r="A12" s="28">
        <v>0.5</v>
      </c>
      <c r="B12" s="28">
        <v>0.25</v>
      </c>
      <c r="C12" s="28">
        <v>0.125</v>
      </c>
      <c r="D12" s="28">
        <f>1/16</f>
        <v>6.25E-2</v>
      </c>
      <c r="E12" s="28">
        <f>1/32</f>
        <v>3.125E-2</v>
      </c>
      <c r="G12" s="28">
        <f>MMULT(A18:E18,I11:I15)</f>
        <v>-12.852186666000819</v>
      </c>
      <c r="I12" s="28">
        <f>1-B8</f>
        <v>0.39185499999999995</v>
      </c>
    </row>
    <row r="13" spans="1:9" x14ac:dyDescent="0.2">
      <c r="A13" s="28">
        <v>1</v>
      </c>
      <c r="B13" s="28">
        <v>1</v>
      </c>
      <c r="C13" s="28">
        <v>0.75</v>
      </c>
      <c r="D13" s="28">
        <v>0.5</v>
      </c>
      <c r="E13" s="28">
        <f>5/16</f>
        <v>0.3125</v>
      </c>
      <c r="G13" s="28">
        <f>MMULT(A19:E19,I11:I15)</f>
        <v>36.676404284001883</v>
      </c>
      <c r="I13" s="28">
        <v>0</v>
      </c>
    </row>
    <row r="14" spans="1:9" x14ac:dyDescent="0.2">
      <c r="A14" s="28">
        <v>0.5</v>
      </c>
      <c r="B14" s="28">
        <f>1/3</f>
        <v>0.33333333333333331</v>
      </c>
      <c r="C14" s="28">
        <v>0.25</v>
      </c>
      <c r="D14" s="28">
        <v>0.2</v>
      </c>
      <c r="E14" s="28">
        <f>1/6</f>
        <v>0.16666666666666666</v>
      </c>
      <c r="G14" s="28">
        <f>MMULT(A20:E20,I11:I15)</f>
        <v>-47.315304760001915</v>
      </c>
      <c r="I14" s="28">
        <f>B5-B8</f>
        <v>0.13355499999999998</v>
      </c>
    </row>
    <row r="15" spans="1:9" x14ac:dyDescent="0.2">
      <c r="A15" s="28">
        <f>1/3</f>
        <v>0.33333333333333331</v>
      </c>
      <c r="B15" s="28">
        <v>0.25</v>
      </c>
      <c r="C15" s="28">
        <v>0.2</v>
      </c>
      <c r="D15" s="28">
        <f>1/6</f>
        <v>0.16666666666666666</v>
      </c>
      <c r="E15" s="28">
        <f>1/7</f>
        <v>0.14285714285714285</v>
      </c>
      <c r="G15" s="28">
        <f>MMULT(A21:E21,I11:I15)</f>
        <v>20.189681904000704</v>
      </c>
      <c r="I15" s="28">
        <f>(0.5-B9/100)*B5-0.5*B8</f>
        <v>1.8343748299999962E-2</v>
      </c>
    </row>
    <row r="17" spans="1:12" x14ac:dyDescent="0.2">
      <c r="A17" s="28">
        <f t="array" ref="A17:E21">MINVERSE(Data)</f>
        <v>3.00000000000027</v>
      </c>
      <c r="B17" s="28">
        <v>-16.000000000000387</v>
      </c>
      <c r="C17" s="28">
        <v>2.6666666666669556</v>
      </c>
      <c r="D17" s="28">
        <v>100.00000000000455</v>
      </c>
      <c r="E17" s="28">
        <v>-140.00000000000841</v>
      </c>
    </row>
    <row r="18" spans="1:12" x14ac:dyDescent="0.2">
      <c r="A18" s="28">
        <v>-28.000000000001904</v>
      </c>
      <c r="B18" s="28">
        <v>96.000000000002629</v>
      </c>
      <c r="C18" s="28">
        <v>-26.666666666668391</v>
      </c>
      <c r="D18" s="28">
        <v>-640.00000000002933</v>
      </c>
      <c r="E18" s="28">
        <v>980.00000000005184</v>
      </c>
    </row>
    <row r="19" spans="1:12" x14ac:dyDescent="0.2">
      <c r="A19" s="28">
        <v>90.000000000004633</v>
      </c>
      <c r="B19" s="28">
        <v>-160.00000000000645</v>
      </c>
      <c r="C19" s="28">
        <v>80.00000000000405</v>
      </c>
      <c r="D19" s="28">
        <v>1500.0000000000703</v>
      </c>
      <c r="E19" s="28">
        <v>-2520.0000000001223</v>
      </c>
    </row>
    <row r="20" spans="1:12" x14ac:dyDescent="0.2">
      <c r="A20" s="28">
        <v>-120.0000000000048</v>
      </c>
      <c r="B20" s="28">
        <v>80.000000000006821</v>
      </c>
      <c r="C20" s="28">
        <v>-93.333333333337521</v>
      </c>
      <c r="D20" s="28">
        <v>-1520.000000000073</v>
      </c>
      <c r="E20" s="28">
        <v>2800.0000000001264</v>
      </c>
    </row>
    <row r="21" spans="1:12" x14ac:dyDescent="0.2">
      <c r="A21" s="28">
        <v>56.000000000001805</v>
      </c>
      <c r="B21" s="28">
        <v>-2.6112445539184789E-12</v>
      </c>
      <c r="C21" s="28">
        <v>37.333333333334906</v>
      </c>
      <c r="D21" s="28">
        <v>560.00000000002751</v>
      </c>
      <c r="E21" s="28">
        <v>-1120.0000000000475</v>
      </c>
    </row>
    <row r="23" spans="1:12" x14ac:dyDescent="0.2">
      <c r="A23" s="28" t="s">
        <v>115</v>
      </c>
      <c r="B23" s="28" t="s">
        <v>118</v>
      </c>
      <c r="C23" s="28" t="s">
        <v>114</v>
      </c>
      <c r="D23" s="28" t="s">
        <v>119</v>
      </c>
      <c r="H23" s="59" t="s">
        <v>136</v>
      </c>
      <c r="I23" s="59"/>
    </row>
    <row r="24" spans="1:12" ht="15" x14ac:dyDescent="0.25">
      <c r="A24" s="29">
        <v>0</v>
      </c>
      <c r="B24" s="42">
        <f>$B$8+$G$11*A24+$G$12*A24^2+$G$13*A24^3+$G$14*A24^4+$G$15*A24^5</f>
        <v>0.60814500000000005</v>
      </c>
      <c r="C24" s="28">
        <f t="shared" ref="C24:C44" si="0">A24*$B$2</f>
        <v>0</v>
      </c>
      <c r="D24" s="29">
        <f t="shared" ref="D24:D44" si="1">B24*$B$4/2</f>
        <v>4.3174562987685938</v>
      </c>
      <c r="E24" s="42">
        <f t="shared" ref="E24:E44" si="2">-B24</f>
        <v>-0.60814500000000005</v>
      </c>
      <c r="F24" s="29">
        <f t="shared" ref="F24:F44" si="3">-D24</f>
        <v>-4.3174562987685938</v>
      </c>
      <c r="H24" s="28">
        <f>$G$11+2*$G$12*A24+3*$G$13*A24^2+4*$G$14*A24^3+5*$G$15*A24^4</f>
        <v>2.6932602380001409</v>
      </c>
      <c r="I24">
        <f>DEGREES(ATAN(H24))</f>
        <v>69.63017929153277</v>
      </c>
      <c r="K24">
        <f>B24/'CWD Opt1 Calcs'!$B$6*Inputs!$B$4</f>
        <v>0.60814500000000005</v>
      </c>
      <c r="L24"/>
    </row>
    <row r="25" spans="1:12" ht="15" x14ac:dyDescent="0.25">
      <c r="A25" s="29">
        <v>0.05</v>
      </c>
      <c r="B25" s="42">
        <f t="shared" ref="B25:B44" si="4">$B$8+$G$11*A25+$G$12*A25^2+$G$13*A25^3+$G$14*A25^4+$G$15*A25^5</f>
        <v>0.7149726843913502</v>
      </c>
      <c r="C25" s="28">
        <f t="shared" si="0"/>
        <v>6.3246769080712024</v>
      </c>
      <c r="D25" s="29">
        <f t="shared" si="1"/>
        <v>5.075867300845891</v>
      </c>
      <c r="E25" s="42">
        <f t="shared" si="2"/>
        <v>-0.7149726843913502</v>
      </c>
      <c r="F25" s="29">
        <f t="shared" si="3"/>
        <v>-5.075867300845891</v>
      </c>
      <c r="H25" s="28">
        <f t="shared" ref="H25:H44" si="5">$G$11+2*$G$12*A25+3*$G$13*A25^2+4*$G$14*A25^3+5*$G$15*A25^4</f>
        <v>1.6600878787095723</v>
      </c>
      <c r="I25">
        <f t="shared" ref="I25:I44" si="6">DEGREES(ATAN(H25))</f>
        <v>58.936175748114309</v>
      </c>
      <c r="K25">
        <f>B25/'CWD Opt1 Calcs'!$B$6*Inputs!$B$4</f>
        <v>0.7149726843913502</v>
      </c>
      <c r="L25"/>
    </row>
    <row r="26" spans="1:12" ht="15" x14ac:dyDescent="0.25">
      <c r="A26" s="29">
        <v>0.1</v>
      </c>
      <c r="B26" s="42">
        <f t="shared" si="4"/>
        <v>0.78109592776704762</v>
      </c>
      <c r="C26" s="28">
        <f t="shared" si="0"/>
        <v>12.649353816142405</v>
      </c>
      <c r="D26" s="29">
        <f t="shared" si="1"/>
        <v>5.5453017508658915</v>
      </c>
      <c r="E26" s="42">
        <f t="shared" si="2"/>
        <v>-0.78109592776704762</v>
      </c>
      <c r="F26" s="29">
        <f t="shared" si="3"/>
        <v>-5.5453017508658915</v>
      </c>
      <c r="H26" s="28">
        <f t="shared" si="5"/>
        <v>1.0439486552320265</v>
      </c>
      <c r="I26">
        <f t="shared" si="6"/>
        <v>46.231774830476539</v>
      </c>
      <c r="K26">
        <f>B26/'CWD Opt1 Calcs'!$B$6*Inputs!$B$4</f>
        <v>0.78109592776704762</v>
      </c>
      <c r="L26"/>
    </row>
    <row r="27" spans="1:12" ht="15" x14ac:dyDescent="0.25">
      <c r="A27" s="29">
        <v>0.15</v>
      </c>
      <c r="B27" s="42">
        <f t="shared" si="4"/>
        <v>0.82432248110834339</v>
      </c>
      <c r="C27" s="28">
        <f t="shared" si="0"/>
        <v>18.974030724213605</v>
      </c>
      <c r="D27" s="29">
        <f t="shared" si="1"/>
        <v>5.8521837526868952</v>
      </c>
      <c r="E27" s="42">
        <f t="shared" si="2"/>
        <v>-0.82432248110834339</v>
      </c>
      <c r="F27" s="29">
        <f t="shared" si="3"/>
        <v>-5.8521837526868952</v>
      </c>
      <c r="H27" s="28">
        <f t="shared" si="5"/>
        <v>0.72561004542949892</v>
      </c>
      <c r="I27">
        <f t="shared" si="6"/>
        <v>35.965015859267105</v>
      </c>
      <c r="K27">
        <f>B27/'CWD Opt1 Calcs'!$B$6*Inputs!$B$4</f>
        <v>0.82432248110834339</v>
      </c>
      <c r="L27"/>
    </row>
    <row r="28" spans="1:12" ht="15" x14ac:dyDescent="0.25">
      <c r="A28" s="29">
        <v>0.2</v>
      </c>
      <c r="B28" s="42">
        <f t="shared" si="4"/>
        <v>0.85687702582528769</v>
      </c>
      <c r="C28" s="28">
        <f t="shared" si="0"/>
        <v>25.29870763228481</v>
      </c>
      <c r="D28" s="29">
        <f t="shared" si="1"/>
        <v>6.0833010423821401</v>
      </c>
      <c r="E28" s="42">
        <f t="shared" si="2"/>
        <v>-0.85687702582528769</v>
      </c>
      <c r="F28" s="29">
        <f t="shared" si="3"/>
        <v>-6.0833010423821401</v>
      </c>
      <c r="H28" s="28">
        <f t="shared" si="5"/>
        <v>0.60098178859198448</v>
      </c>
      <c r="I28">
        <f t="shared" si="6"/>
        <v>31.005100633713962</v>
      </c>
      <c r="K28">
        <f>B28/'CWD Opt1 Calcs'!$B$6*Inputs!$B$4</f>
        <v>0.85687702582528769</v>
      </c>
      <c r="L28"/>
    </row>
    <row r="29" spans="1:12" ht="15" x14ac:dyDescent="0.25">
      <c r="A29" s="29">
        <v>0.25</v>
      </c>
      <c r="B29" s="42">
        <f t="shared" si="4"/>
        <v>0.88615828682813158</v>
      </c>
      <c r="C29" s="28">
        <f t="shared" si="0"/>
        <v>31.62338454035601</v>
      </c>
      <c r="D29" s="29">
        <f t="shared" si="1"/>
        <v>6.2911800264280764</v>
      </c>
      <c r="E29" s="42">
        <f t="shared" si="2"/>
        <v>-0.88615828682813158</v>
      </c>
      <c r="F29" s="29">
        <f t="shared" si="3"/>
        <v>-6.2911800264280764</v>
      </c>
      <c r="H29" s="28">
        <f t="shared" si="5"/>
        <v>0.58111588543747916</v>
      </c>
      <c r="I29">
        <f t="shared" si="6"/>
        <v>30.161551590372621</v>
      </c>
      <c r="K29">
        <f>B29/'CWD Opt1 Calcs'!$B$6*Inputs!$B$4</f>
        <v>0.88615828682813158</v>
      </c>
      <c r="L29"/>
    </row>
    <row r="30" spans="1:12" ht="15" x14ac:dyDescent="0.25">
      <c r="A30" s="29">
        <v>0.3</v>
      </c>
      <c r="B30" s="42">
        <f t="shared" si="4"/>
        <v>0.91549614559872561</v>
      </c>
      <c r="C30" s="28">
        <f t="shared" si="0"/>
        <v>37.948061448427211</v>
      </c>
      <c r="D30" s="29">
        <f t="shared" si="1"/>
        <v>6.4994608198926027</v>
      </c>
      <c r="E30" s="42">
        <f t="shared" si="2"/>
        <v>-0.91549614559872561</v>
      </c>
      <c r="F30" s="29">
        <f t="shared" si="3"/>
        <v>-6.4994608198926027</v>
      </c>
      <c r="H30" s="28">
        <f t="shared" si="5"/>
        <v>0.59220659811198173</v>
      </c>
      <c r="I30">
        <f t="shared" si="6"/>
        <v>30.634297208402788</v>
      </c>
      <c r="K30">
        <f>B30/'CWD Opt1 Calcs'!$B$6*Inputs!$B$4</f>
        <v>0.91549614559872572</v>
      </c>
      <c r="L30"/>
    </row>
    <row r="31" spans="1:12" ht="15" x14ac:dyDescent="0.25">
      <c r="A31" s="29">
        <v>0.35</v>
      </c>
      <c r="B31" s="42">
        <f t="shared" si="4"/>
        <v>0.94490875326191981</v>
      </c>
      <c r="C31" s="28">
        <f t="shared" si="0"/>
        <v>44.272738356498415</v>
      </c>
      <c r="D31" s="29">
        <f t="shared" si="1"/>
        <v>6.7082722846233285</v>
      </c>
      <c r="E31" s="42">
        <f t="shared" si="2"/>
        <v>-0.94490875326191981</v>
      </c>
      <c r="F31" s="29">
        <f t="shared" si="3"/>
        <v>-6.7082722846233285</v>
      </c>
      <c r="H31" s="28">
        <f t="shared" si="5"/>
        <v>0.57559045018948596</v>
      </c>
      <c r="I31">
        <f t="shared" si="6"/>
        <v>29.924319722732257</v>
      </c>
      <c r="K31">
        <f>B31/'CWD Opt1 Calcs'!$B$6*Inputs!$B$4</f>
        <v>0.94490875326191981</v>
      </c>
      <c r="L31"/>
    </row>
    <row r="32" spans="1:12" ht="15" x14ac:dyDescent="0.25">
      <c r="A32" s="29">
        <v>0.4</v>
      </c>
      <c r="B32" s="42">
        <f t="shared" si="4"/>
        <v>0.97185964365696431</v>
      </c>
      <c r="C32" s="28">
        <f t="shared" si="0"/>
        <v>50.597415264569619</v>
      </c>
      <c r="D32" s="29">
        <f t="shared" si="1"/>
        <v>6.8996070674358272</v>
      </c>
      <c r="E32" s="42">
        <f t="shared" si="2"/>
        <v>-0.97185964365696431</v>
      </c>
      <c r="F32" s="29">
        <f t="shared" si="3"/>
        <v>-6.8996070674358272</v>
      </c>
      <c r="H32" s="28">
        <f t="shared" si="5"/>
        <v>0.48774622667199319</v>
      </c>
      <c r="I32">
        <f t="shared" si="6"/>
        <v>26.000631240330318</v>
      </c>
      <c r="K32">
        <f>B32/'CWD Opt1 Calcs'!$B$6*Inputs!$B$4</f>
        <v>0.97185964365696431</v>
      </c>
      <c r="L32"/>
    </row>
    <row r="33" spans="1:12" ht="15" x14ac:dyDescent="0.25">
      <c r="A33" s="29">
        <v>0.45</v>
      </c>
      <c r="B33" s="42">
        <f t="shared" si="4"/>
        <v>0.99201484640890902</v>
      </c>
      <c r="C33" s="28">
        <f t="shared" si="0"/>
        <v>56.922092172640816</v>
      </c>
      <c r="D33" s="29">
        <f t="shared" si="1"/>
        <v>7.0426966383018899</v>
      </c>
      <c r="E33" s="42">
        <f t="shared" si="2"/>
        <v>-0.99201484640890902</v>
      </c>
      <c r="F33" s="29">
        <f t="shared" si="3"/>
        <v>-7.0426966383018899</v>
      </c>
      <c r="H33" s="28">
        <f t="shared" si="5"/>
        <v>0.30029497398949268</v>
      </c>
      <c r="I33">
        <f t="shared" si="6"/>
        <v>16.714748263595386</v>
      </c>
      <c r="K33">
        <f>B33/'CWD Opt1 Calcs'!$B$6*Inputs!$B$4</f>
        <v>0.99201484640890902</v>
      </c>
      <c r="L33"/>
    </row>
    <row r="34" spans="1:12" ht="15" x14ac:dyDescent="0.25">
      <c r="A34" s="29">
        <v>0.5</v>
      </c>
      <c r="B34" s="42">
        <f t="shared" si="4"/>
        <v>1.0000000000000036</v>
      </c>
      <c r="C34" s="28">
        <f t="shared" si="0"/>
        <v>63.246769080712021</v>
      </c>
      <c r="D34" s="29">
        <f t="shared" si="1"/>
        <v>7.0993863285377801</v>
      </c>
      <c r="E34" s="42">
        <f t="shared" si="2"/>
        <v>-1.0000000000000036</v>
      </c>
      <c r="F34" s="29">
        <f t="shared" si="3"/>
        <v>-7.0993863285377801</v>
      </c>
      <c r="H34" s="28">
        <f t="shared" si="5"/>
        <v>0</v>
      </c>
      <c r="I34">
        <f t="shared" si="6"/>
        <v>0</v>
      </c>
      <c r="K34">
        <f>B34/'CWD Opt1 Calcs'!$B$6*Inputs!$B$4</f>
        <v>1.0000000000000036</v>
      </c>
      <c r="L34"/>
    </row>
    <row r="35" spans="1:12" ht="15" x14ac:dyDescent="0.25">
      <c r="A35" s="29">
        <v>0.55000000000000004</v>
      </c>
      <c r="B35" s="42">
        <f t="shared" si="4"/>
        <v>0.99015746484109912</v>
      </c>
      <c r="C35" s="28">
        <f t="shared" si="0"/>
        <v>69.571445988783225</v>
      </c>
      <c r="D35" s="29">
        <f t="shared" si="1"/>
        <v>7.0295103689925025</v>
      </c>
      <c r="E35" s="42">
        <f t="shared" si="2"/>
        <v>-0.99015746484109912</v>
      </c>
      <c r="F35" s="29">
        <f t="shared" si="3"/>
        <v>-7.0295103689925025</v>
      </c>
      <c r="H35" s="28">
        <f t="shared" si="5"/>
        <v>-0.41123312601050266</v>
      </c>
      <c r="I35">
        <f t="shared" si="6"/>
        <v>-22.354088300823349</v>
      </c>
      <c r="K35">
        <f>B35/'CWD Opt1 Calcs'!$B$6*Inputs!$B$4</f>
        <v>0.99015746484109912</v>
      </c>
      <c r="L35"/>
    </row>
    <row r="36" spans="1:12" ht="15" x14ac:dyDescent="0.25">
      <c r="A36" s="29">
        <v>0.6</v>
      </c>
      <c r="B36" s="42">
        <f t="shared" si="4"/>
        <v>0.95730343634304282</v>
      </c>
      <c r="C36" s="28">
        <f t="shared" si="0"/>
        <v>75.896122896854422</v>
      </c>
      <c r="D36" s="29">
        <f t="shared" si="1"/>
        <v>6.7962669282360118</v>
      </c>
      <c r="E36" s="42">
        <f t="shared" si="2"/>
        <v>-0.95730343634304282</v>
      </c>
      <c r="F36" s="29">
        <f t="shared" si="3"/>
        <v>-6.7962669282360118</v>
      </c>
      <c r="H36" s="28">
        <f t="shared" si="5"/>
        <v>-0.9163565733279988</v>
      </c>
      <c r="I36">
        <f t="shared" si="6"/>
        <v>-42.500791044354067</v>
      </c>
      <c r="K36">
        <f>B36/'CWD Opt1 Calcs'!$B$6*Inputs!$B$4</f>
        <v>0.95730343634304293</v>
      </c>
      <c r="L36"/>
    </row>
    <row r="37" spans="1:12" ht="15" x14ac:dyDescent="0.25">
      <c r="A37" s="29">
        <v>0.65</v>
      </c>
      <c r="B37" s="42">
        <f t="shared" si="4"/>
        <v>0.89748505798808642</v>
      </c>
      <c r="C37" s="28">
        <f t="shared" si="0"/>
        <v>82.220799804925633</v>
      </c>
      <c r="D37" s="29">
        <f t="shared" si="1"/>
        <v>6.3715931507475352</v>
      </c>
      <c r="E37" s="42">
        <f t="shared" si="2"/>
        <v>-0.89748505798808642</v>
      </c>
      <c r="F37" s="29">
        <f t="shared" si="3"/>
        <v>-6.3715931507475352</v>
      </c>
      <c r="H37" s="28">
        <f t="shared" si="5"/>
        <v>-1.4831802498105162</v>
      </c>
      <c r="I37">
        <f t="shared" si="6"/>
        <v>-56.011091983854818</v>
      </c>
      <c r="K37">
        <f>B37/'CWD Opt1 Calcs'!$B$6*Inputs!$B$4</f>
        <v>0.89748505798808642</v>
      </c>
      <c r="L37"/>
    </row>
    <row r="38" spans="1:12" ht="15" x14ac:dyDescent="0.25">
      <c r="A38" s="29">
        <v>0.7</v>
      </c>
      <c r="B38" s="42">
        <f t="shared" si="4"/>
        <v>0.80873753440128393</v>
      </c>
      <c r="C38" s="28">
        <f t="shared" si="0"/>
        <v>88.54547671299683</v>
      </c>
      <c r="D38" s="29">
        <f t="shared" si="1"/>
        <v>5.7415401951038074</v>
      </c>
      <c r="E38" s="42">
        <f t="shared" si="2"/>
        <v>-0.80873753440128393</v>
      </c>
      <c r="F38" s="29">
        <f t="shared" si="3"/>
        <v>-5.7415401951038074</v>
      </c>
      <c r="H38" s="28">
        <f t="shared" si="5"/>
        <v>-2.0643718018880115</v>
      </c>
      <c r="I38">
        <f t="shared" si="6"/>
        <v>-64.154040904580995</v>
      </c>
      <c r="K38">
        <f>B38/'CWD Opt1 Calcs'!$B$6*Inputs!$B$4</f>
        <v>0.80873753440128393</v>
      </c>
      <c r="L38"/>
    </row>
    <row r="39" spans="1:12" ht="15" x14ac:dyDescent="0.25">
      <c r="A39" s="29">
        <v>0.75</v>
      </c>
      <c r="B39" s="42">
        <f t="shared" si="4"/>
        <v>0.69184124442187489</v>
      </c>
      <c r="C39" s="28">
        <f t="shared" si="0"/>
        <v>94.870153621068027</v>
      </c>
      <c r="D39" s="29">
        <f t="shared" si="1"/>
        <v>4.9116482721672057</v>
      </c>
      <c r="E39" s="42">
        <f t="shared" si="2"/>
        <v>-0.69184124442187489</v>
      </c>
      <c r="F39" s="29">
        <f t="shared" si="3"/>
        <v>-4.9116482721672057</v>
      </c>
      <c r="H39" s="28">
        <f t="shared" si="5"/>
        <v>-2.5974566145625104</v>
      </c>
      <c r="I39">
        <f t="shared" si="6"/>
        <v>-68.943693931547656</v>
      </c>
      <c r="K39">
        <f>B39/'CWD Opt1 Calcs'!$B$6*Inputs!$B$4</f>
        <v>0.69184124442187489</v>
      </c>
      <c r="L39"/>
    </row>
    <row r="40" spans="1:12" ht="15" x14ac:dyDescent="0.25">
      <c r="A40" s="29">
        <v>0.8</v>
      </c>
      <c r="B40" s="42">
        <f t="shared" si="4"/>
        <v>0.55107885417471891</v>
      </c>
      <c r="C40" s="28">
        <f t="shared" si="0"/>
        <v>101.19483052913924</v>
      </c>
      <c r="D40" s="29">
        <f t="shared" si="1"/>
        <v>3.9123216832742509</v>
      </c>
      <c r="E40" s="42">
        <f t="shared" si="2"/>
        <v>-0.55107885417471891</v>
      </c>
      <c r="F40" s="29">
        <f t="shared" si="3"/>
        <v>-3.9123216832742509</v>
      </c>
      <c r="H40" s="28">
        <f t="shared" si="5"/>
        <v>-3.0048178114080173</v>
      </c>
      <c r="I40">
        <f t="shared" si="6"/>
        <v>-71.592615361253053</v>
      </c>
      <c r="K40">
        <f>B40/'CWD Opt1 Calcs'!$B$6*Inputs!$B$4</f>
        <v>0.55107885417471891</v>
      </c>
      <c r="L40"/>
    </row>
    <row r="41" spans="1:12" ht="15" x14ac:dyDescent="0.25">
      <c r="A41" s="29">
        <v>0.85</v>
      </c>
      <c r="B41" s="42">
        <f t="shared" si="4"/>
        <v>0.39499243014166296</v>
      </c>
      <c r="C41" s="28">
        <f t="shared" si="0"/>
        <v>107.51950743721044</v>
      </c>
      <c r="D41" s="29">
        <f t="shared" si="1"/>
        <v>2.8042038584236262</v>
      </c>
      <c r="E41" s="42">
        <f t="shared" si="2"/>
        <v>-0.39499243014166296</v>
      </c>
      <c r="F41" s="29">
        <f t="shared" si="3"/>
        <v>-2.8042038584236262</v>
      </c>
      <c r="H41" s="28">
        <f t="shared" si="5"/>
        <v>-3.1936962545705398</v>
      </c>
      <c r="I41">
        <f t="shared" si="6"/>
        <v>-72.613784320368083</v>
      </c>
      <c r="K41">
        <f>B41/'CWD Opt1 Calcs'!$B$6*Inputs!$B$4</f>
        <v>0.39499243014166296</v>
      </c>
      <c r="L41"/>
    </row>
    <row r="42" spans="1:12" ht="15" x14ac:dyDescent="0.25">
      <c r="A42" s="29">
        <v>0.9</v>
      </c>
      <c r="B42" s="42">
        <f t="shared" si="4"/>
        <v>0.23714055223295816</v>
      </c>
      <c r="C42" s="28">
        <f t="shared" si="0"/>
        <v>113.84418434528163</v>
      </c>
      <c r="D42" s="29">
        <f t="shared" si="1"/>
        <v>1.6835523944645565</v>
      </c>
      <c r="E42" s="42">
        <f t="shared" si="2"/>
        <v>-0.23714055223295816</v>
      </c>
      <c r="F42" s="29">
        <f t="shared" si="3"/>
        <v>-1.6835523944645565</v>
      </c>
      <c r="H42" s="28">
        <f t="shared" si="5"/>
        <v>-3.0561905447680431</v>
      </c>
      <c r="I42">
        <f t="shared" si="6"/>
        <v>-71.881658898450056</v>
      </c>
      <c r="K42">
        <f>B42/'CWD Opt1 Calcs'!$B$6*Inputs!$B$4</f>
        <v>0.23714055223295813</v>
      </c>
      <c r="L42"/>
    </row>
    <row r="43" spans="1:12" ht="15" x14ac:dyDescent="0.25">
      <c r="A43" s="29">
        <v>0.95</v>
      </c>
      <c r="B43" s="42">
        <f t="shared" si="4"/>
        <v>9.6855426858642346E-2</v>
      </c>
      <c r="C43" s="28">
        <f t="shared" si="0"/>
        <v>120.16886125335283</v>
      </c>
      <c r="D43" s="29">
        <f t="shared" si="1"/>
        <v>0.68761409328493395</v>
      </c>
      <c r="E43" s="42">
        <f t="shared" si="2"/>
        <v>-9.6855426858642346E-2</v>
      </c>
      <c r="F43" s="29">
        <f t="shared" si="3"/>
        <v>-0.68761409328493395</v>
      </c>
      <c r="H43" s="28">
        <f t="shared" si="5"/>
        <v>-2.4692570212905025</v>
      </c>
      <c r="I43">
        <f t="shared" si="6"/>
        <v>-67.953031174521726</v>
      </c>
      <c r="K43">
        <f>B43/'CWD Opt1 Calcs'!$B$6*Inputs!$B$4</f>
        <v>9.6855426858642346E-2</v>
      </c>
      <c r="L43"/>
    </row>
    <row r="44" spans="1:12" ht="15" x14ac:dyDescent="0.25">
      <c r="A44" s="29">
        <v>1</v>
      </c>
      <c r="B44" s="42">
        <f t="shared" si="4"/>
        <v>0</v>
      </c>
      <c r="C44" s="28">
        <f t="shared" si="0"/>
        <v>126.49353816142404</v>
      </c>
      <c r="D44" s="29">
        <f t="shared" si="1"/>
        <v>0</v>
      </c>
      <c r="E44" s="42">
        <f t="shared" si="2"/>
        <v>0</v>
      </c>
      <c r="F44" s="29">
        <f t="shared" si="3"/>
        <v>0</v>
      </c>
      <c r="H44" s="28">
        <f t="shared" si="5"/>
        <v>-1.2947097619999823</v>
      </c>
      <c r="I44">
        <f t="shared" si="6"/>
        <v>-52.318439630847763</v>
      </c>
      <c r="K44">
        <f>B44/'CWD Opt1 Calcs'!$B$6*Inputs!$B$4</f>
        <v>0</v>
      </c>
      <c r="L44"/>
    </row>
    <row r="46" spans="1:12" x14ac:dyDescent="0.2">
      <c r="A46" s="29"/>
      <c r="B46" s="42"/>
      <c r="C46" s="28" t="s">
        <v>9</v>
      </c>
      <c r="D46" s="29">
        <f>DEGREES(ATAN((D44-D43)/(C44-C43)))</f>
        <v>-6.2047838383143956</v>
      </c>
      <c r="E46" s="28">
        <f>(ATAN((D44-D43)/(C44-C43)))</f>
        <v>-0.1082939073531177</v>
      </c>
    </row>
    <row r="47" spans="1:12" x14ac:dyDescent="0.2">
      <c r="A47" s="29"/>
      <c r="B47" s="42"/>
      <c r="D47" s="29"/>
    </row>
    <row r="48" spans="1:12" x14ac:dyDescent="0.2">
      <c r="A48" s="29"/>
      <c r="B48" s="42"/>
      <c r="D48" s="29"/>
    </row>
    <row r="49" spans="1:4" x14ac:dyDescent="0.2">
      <c r="A49" s="29"/>
      <c r="B49" s="42"/>
      <c r="D49" s="29"/>
    </row>
    <row r="50" spans="1:4" x14ac:dyDescent="0.2">
      <c r="A50" s="29"/>
      <c r="B50" s="42"/>
      <c r="D50" s="29"/>
    </row>
    <row r="51" spans="1:4" x14ac:dyDescent="0.2">
      <c r="A51" s="29"/>
      <c r="B51" s="42"/>
      <c r="D51" s="29"/>
    </row>
    <row r="52" spans="1:4" x14ac:dyDescent="0.2">
      <c r="A52" s="29"/>
      <c r="B52" s="42"/>
      <c r="D52" s="29"/>
    </row>
    <row r="53" spans="1:4" x14ac:dyDescent="0.2">
      <c r="A53" s="29"/>
      <c r="B53" s="42"/>
      <c r="D53" s="29"/>
    </row>
    <row r="54" spans="1:4" x14ac:dyDescent="0.2">
      <c r="A54" s="29"/>
      <c r="B54" s="42"/>
      <c r="D54" s="29"/>
    </row>
    <row r="55" spans="1:4" x14ac:dyDescent="0.2">
      <c r="A55" s="29"/>
      <c r="B55" s="42"/>
      <c r="D55" s="29"/>
    </row>
    <row r="56" spans="1:4" x14ac:dyDescent="0.2">
      <c r="A56" s="29"/>
      <c r="B56" s="42"/>
      <c r="D56" s="29"/>
    </row>
    <row r="57" spans="1:4" x14ac:dyDescent="0.2">
      <c r="A57" s="29"/>
      <c r="B57" s="42"/>
      <c r="D57" s="29"/>
    </row>
    <row r="58" spans="1:4" x14ac:dyDescent="0.2">
      <c r="A58" s="29"/>
      <c r="B58" s="42"/>
      <c r="D58" s="29"/>
    </row>
    <row r="59" spans="1:4" x14ac:dyDescent="0.2">
      <c r="A59" s="29"/>
      <c r="B59" s="42"/>
      <c r="D59" s="29"/>
    </row>
    <row r="60" spans="1:4" x14ac:dyDescent="0.2">
      <c r="A60" s="29"/>
      <c r="B60" s="42"/>
      <c r="D60" s="29"/>
    </row>
    <row r="61" spans="1:4" x14ac:dyDescent="0.2">
      <c r="A61" s="29"/>
      <c r="B61" s="42"/>
      <c r="D61" s="29"/>
    </row>
    <row r="62" spans="1:4" x14ac:dyDescent="0.2">
      <c r="A62" s="29"/>
      <c r="B62" s="42"/>
      <c r="D62" s="29"/>
    </row>
    <row r="63" spans="1:4" x14ac:dyDescent="0.2">
      <c r="A63" s="29"/>
      <c r="B63" s="42"/>
      <c r="D63" s="29"/>
    </row>
    <row r="64" spans="1:4" x14ac:dyDescent="0.2">
      <c r="A64" s="29"/>
      <c r="B64" s="42"/>
      <c r="D64" s="29"/>
    </row>
    <row r="65" spans="1:4" x14ac:dyDescent="0.2">
      <c r="A65" s="29"/>
      <c r="B65" s="42"/>
      <c r="D65" s="29"/>
    </row>
    <row r="66" spans="1:4" x14ac:dyDescent="0.2">
      <c r="A66" s="29"/>
      <c r="B66" s="42"/>
      <c r="D66" s="29"/>
    </row>
    <row r="67" spans="1:4" x14ac:dyDescent="0.2">
      <c r="A67" s="29"/>
      <c r="B67" s="29"/>
    </row>
    <row r="68" spans="1:4" x14ac:dyDescent="0.2">
      <c r="A68" s="29"/>
      <c r="B68" s="29"/>
    </row>
    <row r="69" spans="1:4" x14ac:dyDescent="0.2">
      <c r="A69" s="29"/>
      <c r="B69" s="29"/>
    </row>
    <row r="70" spans="1:4" x14ac:dyDescent="0.2">
      <c r="A70" s="29"/>
      <c r="B70" s="29"/>
    </row>
    <row r="71" spans="1:4" x14ac:dyDescent="0.2">
      <c r="A71" s="29"/>
      <c r="B71" s="29"/>
    </row>
    <row r="72" spans="1:4" x14ac:dyDescent="0.2">
      <c r="A72" s="29"/>
      <c r="B72" s="29"/>
    </row>
    <row r="73" spans="1:4" x14ac:dyDescent="0.2">
      <c r="A73" s="29"/>
      <c r="B73" s="29"/>
    </row>
    <row r="74" spans="1:4" x14ac:dyDescent="0.2">
      <c r="A74" s="29"/>
      <c r="B74" s="29"/>
    </row>
    <row r="75" spans="1:4" x14ac:dyDescent="0.2">
      <c r="A75" s="29"/>
      <c r="B75" s="29"/>
    </row>
    <row r="76" spans="1:4" x14ac:dyDescent="0.2">
      <c r="A76" s="29"/>
      <c r="B76" s="29"/>
    </row>
  </sheetData>
  <phoneticPr fontId="12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20"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1" x14ac:dyDescent="0.25">
      <c r="A1" t="s">
        <v>126</v>
      </c>
    </row>
    <row r="2" spans="1:11" x14ac:dyDescent="0.25">
      <c r="A2" t="s">
        <v>138</v>
      </c>
      <c r="B2">
        <f>-IF(Cwl!D43="",Cwl!D42,Cwl!D43)</f>
        <v>-11</v>
      </c>
      <c r="D2" t="s">
        <v>145</v>
      </c>
      <c r="E2">
        <f>Cwl!D37/COS(B2*PI()/180)</f>
        <v>128.86107912899718</v>
      </c>
      <c r="G2" t="s">
        <v>26</v>
      </c>
      <c r="H2">
        <f>Cwl!D37</f>
        <v>126.49353816142404</v>
      </c>
      <c r="J2" t="s">
        <v>146</v>
      </c>
      <c r="K2">
        <v>1</v>
      </c>
    </row>
    <row r="3" spans="1:11" x14ac:dyDescent="0.25">
      <c r="G3" t="s">
        <v>20</v>
      </c>
      <c r="H3">
        <f>E2*SIN(-B2*PI()/180)</f>
        <v>24.587853051741398</v>
      </c>
      <c r="J3" t="s">
        <v>147</v>
      </c>
      <c r="K3">
        <f>H3/Cwl!G37</f>
        <v>3.4633772433124799</v>
      </c>
    </row>
    <row r="4" spans="1:11" x14ac:dyDescent="0.25">
      <c r="B4" s="14"/>
      <c r="H4" s="16"/>
    </row>
    <row r="5" spans="1:11" x14ac:dyDescent="0.25">
      <c r="H5" s="16" t="s">
        <v>127</v>
      </c>
    </row>
    <row r="6" spans="1:11" x14ac:dyDescent="0.25">
      <c r="A6" s="56">
        <v>1</v>
      </c>
      <c r="B6" s="56">
        <v>1</v>
      </c>
      <c r="C6" s="56">
        <v>1</v>
      </c>
      <c r="D6" s="56">
        <v>1</v>
      </c>
      <c r="E6" s="56">
        <v>1</v>
      </c>
      <c r="F6" s="58">
        <v>1</v>
      </c>
      <c r="G6" s="16" t="s">
        <v>137</v>
      </c>
      <c r="H6" s="28">
        <f>MMULT(A13:F13,J6:J11)</f>
        <v>4.8619277193121491</v>
      </c>
      <c r="I6" s="28"/>
      <c r="J6" s="28">
        <f>-Cwl!$M$38</f>
        <v>-0.60814500000000005</v>
      </c>
    </row>
    <row r="7" spans="1:11" x14ac:dyDescent="0.25">
      <c r="A7" s="56">
        <f>1/2</f>
        <v>0.5</v>
      </c>
      <c r="B7" s="56">
        <f>1/4</f>
        <v>0.25</v>
      </c>
      <c r="C7" s="56">
        <f>1/8</f>
        <v>0.125</v>
      </c>
      <c r="D7" s="42">
        <f>1/16</f>
        <v>6.25E-2</v>
      </c>
      <c r="E7" s="42">
        <f>1/32</f>
        <v>3.125E-2</v>
      </c>
      <c r="F7" s="20">
        <f>1/64</f>
        <v>1.5625E-2</v>
      </c>
      <c r="G7" s="16" t="s">
        <v>129</v>
      </c>
      <c r="H7" s="28">
        <f>MMULT(A14:F14,J6:J11)</f>
        <v>-38.876196441751354</v>
      </c>
      <c r="I7" s="28"/>
      <c r="J7" s="28">
        <f>1-Cwl!M38</f>
        <v>0.39185499999999995</v>
      </c>
    </row>
    <row r="8" spans="1:11" x14ac:dyDescent="0.25">
      <c r="A8" s="56">
        <v>1</v>
      </c>
      <c r="B8" s="56">
        <v>1</v>
      </c>
      <c r="C8" s="56">
        <f>3/4</f>
        <v>0.75</v>
      </c>
      <c r="D8" s="56">
        <f>1/2</f>
        <v>0.5</v>
      </c>
      <c r="E8" s="56">
        <f>5/16</f>
        <v>0.3125</v>
      </c>
      <c r="F8">
        <f>3/16</f>
        <v>0.1875</v>
      </c>
      <c r="G8" s="16" t="s">
        <v>130</v>
      </c>
      <c r="H8" s="28">
        <f>MMULT(A15:F15,J6:J11)</f>
        <v>145.10977834963464</v>
      </c>
      <c r="I8" s="28"/>
      <c r="J8" s="28">
        <v>0</v>
      </c>
    </row>
    <row r="9" spans="1:11" x14ac:dyDescent="0.25">
      <c r="A9" s="56">
        <f>1/2</f>
        <v>0.5</v>
      </c>
      <c r="B9" s="30">
        <f>1/3</f>
        <v>0.33333333333333331</v>
      </c>
      <c r="C9" s="56">
        <f>1/4</f>
        <v>0.25</v>
      </c>
      <c r="D9" s="56">
        <f>1/5</f>
        <v>0.2</v>
      </c>
      <c r="E9" s="30">
        <f>1/6</f>
        <v>0.16666666666666666</v>
      </c>
      <c r="F9" s="14">
        <f>1/7</f>
        <v>0.14285714285714285</v>
      </c>
      <c r="G9" s="16" t="s">
        <v>131</v>
      </c>
      <c r="H9" s="28">
        <f>MMULT(A16:F16,J6:J11)</f>
        <v>-253.33871548470711</v>
      </c>
      <c r="I9" s="28"/>
      <c r="J9" s="28">
        <f>Cwl!J37-Cwl!M38</f>
        <v>0.13355499999999998</v>
      </c>
    </row>
    <row r="10" spans="1:11" x14ac:dyDescent="0.25">
      <c r="A10" s="30">
        <f>1/3</f>
        <v>0.33333333333333331</v>
      </c>
      <c r="B10" s="56">
        <f>1/4</f>
        <v>0.25</v>
      </c>
      <c r="C10" s="56">
        <f>1/5</f>
        <v>0.2</v>
      </c>
      <c r="D10" s="30">
        <f>1/6</f>
        <v>0.16666666666666666</v>
      </c>
      <c r="E10" s="30">
        <f>1/7</f>
        <v>0.14285714285714285</v>
      </c>
      <c r="F10" s="14">
        <f>1/8</f>
        <v>0.125</v>
      </c>
      <c r="G10" s="16" t="s">
        <v>132</v>
      </c>
      <c r="H10" s="28">
        <f>MMULT(A17:F17,J6:J11)</f>
        <v>202.35775033426702</v>
      </c>
      <c r="I10" s="28"/>
      <c r="J10" s="28">
        <f>(0.5-Cwl!D40/100)*Cwl!J37-0.5*Cwl!M38</f>
        <v>1.8343748299999962E-2</v>
      </c>
    </row>
    <row r="11" spans="1:11" x14ac:dyDescent="0.25">
      <c r="A11" s="56">
        <v>1</v>
      </c>
      <c r="B11" s="56">
        <v>2</v>
      </c>
      <c r="C11" s="56">
        <v>3</v>
      </c>
      <c r="D11" s="56">
        <v>4</v>
      </c>
      <c r="E11" s="56">
        <v>5</v>
      </c>
      <c r="F11" s="56">
        <v>6</v>
      </c>
      <c r="G11" s="16" t="s">
        <v>133</v>
      </c>
      <c r="H11" s="28">
        <f>MMULT(A18:F18,J6:J11)</f>
        <v>-60.722689476755491</v>
      </c>
      <c r="I11" s="28"/>
      <c r="J11" s="20">
        <f>-K3</f>
        <v>-3.4633772433124799</v>
      </c>
    </row>
    <row r="12" spans="1:11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11" x14ac:dyDescent="0.25">
      <c r="A13" s="28">
        <f t="array" ref="A13:F18">MINVERSE(A6:F11)</f>
        <v>20.000000000001933</v>
      </c>
      <c r="B13" s="28">
        <v>1.7621459846850485E-12</v>
      </c>
      <c r="C13" s="28">
        <v>5.3333333333336128</v>
      </c>
      <c r="D13" s="28">
        <v>140.00000000000159</v>
      </c>
      <c r="E13" s="28">
        <v>-280.00000000001637</v>
      </c>
      <c r="F13" s="28">
        <v>-1.0000000000000675</v>
      </c>
      <c r="G13" s="28"/>
      <c r="H13" s="28"/>
      <c r="I13" s="28"/>
    </row>
    <row r="14" spans="1:11" x14ac:dyDescent="0.25">
      <c r="A14" s="28">
        <v>-232.00000000002137</v>
      </c>
      <c r="B14" s="28">
        <v>-96.000000000019554</v>
      </c>
      <c r="C14" s="28">
        <v>-58.666666666670153</v>
      </c>
      <c r="D14" s="28">
        <v>-1120.0000000000446</v>
      </c>
      <c r="E14" s="28">
        <v>2660.0000000001746</v>
      </c>
      <c r="F14" s="28">
        <v>12.000000000001194</v>
      </c>
      <c r="G14" s="28"/>
      <c r="H14" s="28"/>
      <c r="I14" s="28"/>
    </row>
    <row r="15" spans="1:11" x14ac:dyDescent="0.25">
      <c r="A15" s="28">
        <v>940.00000000008708</v>
      </c>
      <c r="B15" s="28">
        <v>640.00000000007685</v>
      </c>
      <c r="C15" s="28">
        <v>213.33333333334866</v>
      </c>
      <c r="D15" s="28">
        <v>3500.0000000002219</v>
      </c>
      <c r="E15" s="28">
        <v>-9520.0000000007458</v>
      </c>
      <c r="F15" s="28">
        <v>-50.000000000004988</v>
      </c>
      <c r="G15" s="28"/>
      <c r="H15" s="28"/>
      <c r="I15" s="28"/>
    </row>
    <row r="16" spans="1:11" x14ac:dyDescent="0.25">
      <c r="A16" s="28">
        <v>-1735.000000000161</v>
      </c>
      <c r="B16" s="28">
        <v>-1440.0000000001382</v>
      </c>
      <c r="C16" s="28">
        <v>-346.6666666666963</v>
      </c>
      <c r="D16" s="28">
        <v>-5320.0000000004438</v>
      </c>
      <c r="E16" s="28">
        <v>16100.000000001422</v>
      </c>
      <c r="F16" s="28">
        <v>95.000000000009123</v>
      </c>
      <c r="G16" s="28"/>
      <c r="H16" s="28"/>
      <c r="I16" s="28"/>
    </row>
    <row r="17" spans="1:9" x14ac:dyDescent="0.25">
      <c r="A17" s="28">
        <v>1484.0000000001367</v>
      </c>
      <c r="B17" s="28">
        <v>1344.0000000001153</v>
      </c>
      <c r="C17" s="28">
        <v>261.33333333335918</v>
      </c>
      <c r="D17" s="28">
        <v>3920.000000000392</v>
      </c>
      <c r="E17" s="28">
        <v>-12880.000000001228</v>
      </c>
      <c r="F17" s="28">
        <v>-84.000000000007688</v>
      </c>
      <c r="G17" s="28"/>
      <c r="H17" s="28"/>
      <c r="I17" s="28"/>
    </row>
    <row r="18" spans="1:9" x14ac:dyDescent="0.25">
      <c r="A18" s="28">
        <v>-476.00000000004331</v>
      </c>
      <c r="B18" s="28">
        <v>-448.0000000000361</v>
      </c>
      <c r="C18" s="28">
        <v>-74.666666666674999</v>
      </c>
      <c r="D18" s="28">
        <v>-1120.0000000001271</v>
      </c>
      <c r="E18" s="28">
        <v>3920.0000000003929</v>
      </c>
      <c r="F18" s="28">
        <v>28.000000000002427</v>
      </c>
      <c r="G18" s="28"/>
      <c r="H18" s="28"/>
      <c r="I18" s="28"/>
    </row>
    <row r="19" spans="1:9" x14ac:dyDescent="0.25">
      <c r="A19" s="28"/>
      <c r="B19" s="28"/>
      <c r="C19" s="28"/>
      <c r="D19" s="28"/>
      <c r="E19" s="28"/>
      <c r="F19" s="28"/>
      <c r="G19" s="28"/>
      <c r="H19" s="28"/>
      <c r="I19" s="28"/>
    </row>
    <row r="20" spans="1:9" x14ac:dyDescent="0.25">
      <c r="A20" s="28" t="s">
        <v>115</v>
      </c>
      <c r="B20" s="28" t="s">
        <v>118</v>
      </c>
      <c r="C20" s="28" t="s">
        <v>114</v>
      </c>
      <c r="D20" s="55" t="s">
        <v>140</v>
      </c>
      <c r="E20" s="38"/>
      <c r="F20" s="60" t="s">
        <v>136</v>
      </c>
      <c r="G20" s="38"/>
      <c r="H20" s="57" t="s">
        <v>142</v>
      </c>
      <c r="I20" s="57" t="s">
        <v>320</v>
      </c>
    </row>
    <row r="21" spans="1:9" x14ac:dyDescent="0.25">
      <c r="A21" s="29">
        <v>0</v>
      </c>
      <c r="B21" s="42">
        <f>Cwl!$M$38+$H$6*A21+$H$7*A21^2+$H$8*A21^3+$H$9*A21^4+$H$10*A21^5+$H$11*A21^6</f>
        <v>0.60814500000000005</v>
      </c>
      <c r="C21" s="28">
        <f>A21*Cp!$K$35</f>
        <v>0</v>
      </c>
      <c r="D21" s="29">
        <f>B21*Cwl!$G$37</f>
        <v>4.3174562987685938</v>
      </c>
      <c r="E21" s="38"/>
      <c r="F21" s="36">
        <f>$H$6+2*$H$7*A21+3*$H$8*A21^2+4*$H$9*A21^3+5*$H$10*A21^4+6*$H$11*A21^5</f>
        <v>4.8619277193121491</v>
      </c>
      <c r="G21" s="36"/>
      <c r="H21" s="36">
        <f>(C21+('Profile Calcs'!$P$32-'Profile Calcs'!$P$33))/'CWD Opt1 Calcs'!$B$4</f>
        <v>8.0029988161484222E-3</v>
      </c>
      <c r="I21" s="39">
        <f>B21/'CWD Opt1 Calcs'!$B$6*Inputs!$B$4</f>
        <v>0.60814500000000005</v>
      </c>
    </row>
    <row r="22" spans="1:9" x14ac:dyDescent="0.25">
      <c r="A22" s="29">
        <v>0.05</v>
      </c>
      <c r="B22" s="42">
        <f>Cwl!$M$38+$H$6*A22+$H$7*A22^2+$H$8*A22^3+$H$9*A22^4+$H$10*A22^5+$H$11*A22^6</f>
        <v>0.77066853818811043</v>
      </c>
      <c r="C22" s="28">
        <f>A22*Cp!$K$35</f>
        <v>6.3246769080712024</v>
      </c>
      <c r="D22" s="29">
        <f>B22*Cwl!$G$37</f>
        <v>5.4712736838468485</v>
      </c>
      <c r="E22" s="38"/>
      <c r="F22" s="36">
        <f t="shared" ref="F22:F41" si="0">$H$6+2*$H$7*A22+3*$H$8*A22^2+4*$H$9*A22^3+5*$H$10*A22^4+6*$H$11*A22^5</f>
        <v>1.9421718796720968</v>
      </c>
      <c r="G22" s="36"/>
      <c r="H22" s="36">
        <f>(C22+('Profile Calcs'!$P$32-'Profile Calcs'!$P$33))/'CWD Opt1 Calcs'!$B$4</f>
        <v>5.5713464218296628E-2</v>
      </c>
      <c r="I22" s="39">
        <f>B22/'CWD Opt1 Calcs'!$B$6*Inputs!$B$4</f>
        <v>0.77066853818811043</v>
      </c>
    </row>
    <row r="23" spans="1:9" x14ac:dyDescent="0.25">
      <c r="A23" s="29">
        <v>0.1</v>
      </c>
      <c r="B23" s="42">
        <f>Cwl!$M$38+$H$6*A23+$H$7*A23^2+$H$8*A23^3+$H$9*A23^4+$H$10*A23^5+$H$11*A23^6</f>
        <v>0.82731456912873114</v>
      </c>
      <c r="C23" s="28">
        <f>A23*Cp!$K$35</f>
        <v>12.649353816142405</v>
      </c>
      <c r="D23" s="29">
        <f>B23*Cwl!$G$37</f>
        <v>5.8734257414726176</v>
      </c>
      <c r="E23" s="38"/>
      <c r="F23" s="36">
        <f t="shared" si="0"/>
        <v>0.52416243331061729</v>
      </c>
      <c r="G23" s="36"/>
      <c r="H23" s="36">
        <f>(C23+('Profile Calcs'!$P$32-'Profile Calcs'!$P$33))/'CWD Opt1 Calcs'!$B$4</f>
        <v>0.10342392962044483</v>
      </c>
      <c r="I23" s="39">
        <f>B23/'CWD Opt1 Calcs'!$B$6*Inputs!$B$4</f>
        <v>0.82731456912873114</v>
      </c>
    </row>
    <row r="24" spans="1:9" x14ac:dyDescent="0.25">
      <c r="A24" s="29">
        <v>0.15</v>
      </c>
      <c r="B24" s="42">
        <f>Cwl!$M$38+$H$6*A24+$H$7*A24^2+$H$8*A24^3+$H$9*A24^4+$H$10*A24^5+$H$11*A24^6</f>
        <v>0.8388873874544881</v>
      </c>
      <c r="C24" s="28">
        <f>A24*Cp!$K$35</f>
        <v>18.974030724213605</v>
      </c>
      <c r="D24" s="29">
        <f>B24*Cwl!$G$37</f>
        <v>5.9555856496771478</v>
      </c>
      <c r="E24" s="38"/>
      <c r="F24" s="36">
        <f t="shared" si="0"/>
        <v>5.8457446484300804E-2</v>
      </c>
      <c r="G24" s="36"/>
      <c r="H24" s="36">
        <f>(C24+('Profile Calcs'!$P$32-'Profile Calcs'!$P$33))/'CWD Opt1 Calcs'!$B$4</f>
        <v>0.15113439502259302</v>
      </c>
      <c r="I24" s="39">
        <f>B24/'CWD Opt1 Calcs'!$B$6*Inputs!$B$4</f>
        <v>0.8388873874544881</v>
      </c>
    </row>
    <row r="25" spans="1:9" x14ac:dyDescent="0.25">
      <c r="A25" s="29">
        <v>0.2</v>
      </c>
      <c r="B25" s="42">
        <f>Cwl!$M$38+$H$6*A25+$H$7*A25^2+$H$8*A25^3+$H$9*A25^4+$H$10*A25^5+$H$11*A25^6</f>
        <v>0.84188719619437435</v>
      </c>
      <c r="C25" s="28">
        <f>A25*Cp!$K$35</f>
        <v>25.29870763228481</v>
      </c>
      <c r="D25" s="29">
        <f>B25*Cwl!$G$37</f>
        <v>5.9768824508333243</v>
      </c>
      <c r="E25" s="38"/>
      <c r="F25" s="36">
        <f t="shared" si="0"/>
        <v>0.12005808793590254</v>
      </c>
      <c r="G25" s="36"/>
      <c r="H25" s="36">
        <f>(C25+('Profile Calcs'!$P$32-'Profile Calcs'!$P$33))/'CWD Opt1 Calcs'!$B$4</f>
        <v>0.19884486042474125</v>
      </c>
      <c r="I25" s="39">
        <f>B25/'CWD Opt1 Calcs'!$B$6*Inputs!$B$4</f>
        <v>0.84188719619437435</v>
      </c>
    </row>
    <row r="26" spans="1:9" x14ac:dyDescent="0.25">
      <c r="A26" s="29">
        <v>0.25</v>
      </c>
      <c r="B26" s="42">
        <f>Cwl!$M$38+$H$6*A26+$H$7*A26^2+$H$8*A26^3+$H$9*A26^4+$H$10*A26^5+$H$11*A26^6</f>
        <v>0.85439069676975332</v>
      </c>
      <c r="C26" s="28">
        <f>A26*Cp!$K$35</f>
        <v>31.62338454035601</v>
      </c>
      <c r="D26" s="29">
        <f>B26*Cwl!$G$37</f>
        <v>6.0656496318770339</v>
      </c>
      <c r="E26" s="38"/>
      <c r="F26" s="36">
        <f t="shared" si="0"/>
        <v>0.39474602376205936</v>
      </c>
      <c r="G26" s="36"/>
      <c r="H26" s="36">
        <f>(C26+('Profile Calcs'!$P$32-'Profile Calcs'!$P$33))/'CWD Opt1 Calcs'!$B$4</f>
        <v>0.24655532582688947</v>
      </c>
      <c r="I26" s="39">
        <f>B26/'CWD Opt1 Calcs'!$B$6*Inputs!$B$4</f>
        <v>0.85439069676975332</v>
      </c>
    </row>
    <row r="27" spans="1:9" x14ac:dyDescent="0.25">
      <c r="A27" s="29">
        <v>0.3</v>
      </c>
      <c r="B27" s="42">
        <f>Cwl!$M$38+$H$6*A27+$H$7*A27^2+$H$8*A27^3+$H$9*A27^4+$H$10*A27^5+$H$11*A27^6</f>
        <v>0.88124854873374492</v>
      </c>
      <c r="C27" s="28">
        <f>A27*Cp!$K$35</f>
        <v>37.948061448427211</v>
      </c>
      <c r="D27" s="29">
        <f>B27*Cwl!$G$37</f>
        <v>6.2563238989240864</v>
      </c>
      <c r="E27" s="38"/>
      <c r="F27" s="36">
        <f t="shared" si="0"/>
        <v>0.66542081228103844</v>
      </c>
      <c r="G27" s="36"/>
      <c r="H27" s="36">
        <f>(C27+('Profile Calcs'!$P$32-'Profile Calcs'!$P$33))/'CWD Opt1 Calcs'!$B$4</f>
        <v>0.29426579122903762</v>
      </c>
      <c r="I27" s="39">
        <f>B27/'CWD Opt1 Calcs'!$B$6*Inputs!$B$4</f>
        <v>0.88124854873374492</v>
      </c>
    </row>
    <row r="28" spans="1:9" x14ac:dyDescent="0.25">
      <c r="A28" s="29">
        <v>0.35</v>
      </c>
      <c r="B28" s="42">
        <f>Cwl!$M$38+$H$6*A28+$H$7*A28^2+$H$8*A28^3+$H$9*A28^4+$H$10*A28^5+$H$11*A28^6</f>
        <v>0.91859969925399954</v>
      </c>
      <c r="C28" s="28">
        <f>A28*Cp!$K$35</f>
        <v>44.272738356498415</v>
      </c>
      <c r="D28" s="29">
        <f>B28*Cwl!$G$37</f>
        <v>6.5214941462827376</v>
      </c>
      <c r="E28" s="38"/>
      <c r="F28" s="36">
        <f t="shared" si="0"/>
        <v>0.7984372989004529</v>
      </c>
      <c r="G28" s="36"/>
      <c r="H28" s="36">
        <f>(C28+('Profile Calcs'!$P$32-'Profile Calcs'!$P$33))/'CWD Opt1 Calcs'!$B$4</f>
        <v>0.34197625663118586</v>
      </c>
      <c r="I28" s="39">
        <f>B28/'CWD Opt1 Calcs'!$B$6*Inputs!$B$4</f>
        <v>0.91859969925399954</v>
      </c>
    </row>
    <row r="29" spans="1:9" x14ac:dyDescent="0.25">
      <c r="A29" s="29">
        <v>0.4</v>
      </c>
      <c r="B29" s="42">
        <f>Cwl!$M$38+$H$6*A29+$H$7*A29^2+$H$8*A29^3+$H$9*A29^4+$H$10*A29^5+$H$11*A29^6</f>
        <v>0.95770258233886107</v>
      </c>
      <c r="C29" s="28">
        <f>A29*Cp!$K$35</f>
        <v>50.597415264569619</v>
      </c>
      <c r="D29" s="29">
        <f>B29*Cwl!$G$37</f>
        <v>6.7991006198618145</v>
      </c>
      <c r="E29" s="38"/>
      <c r="F29" s="36">
        <f t="shared" si="0"/>
        <v>0.72994301098499603</v>
      </c>
      <c r="G29" s="36"/>
      <c r="H29" s="36">
        <f>(C29+('Profile Calcs'!$P$32-'Profile Calcs'!$P$33))/'CWD Opt1 Calcs'!$B$4</f>
        <v>0.38968672203333404</v>
      </c>
      <c r="I29" s="39">
        <f>B29/'CWD Opt1 Calcs'!$B$6*Inputs!$B$4</f>
        <v>0.95770258233886119</v>
      </c>
    </row>
    <row r="30" spans="1:9" x14ac:dyDescent="0.25">
      <c r="A30" s="29">
        <v>0.45</v>
      </c>
      <c r="B30" s="42">
        <f>Cwl!$M$38+$H$6*A30+$H$7*A30^2+$H$8*A30^3+$H$9*A30^4+$H$10*A30^5+$H$11*A30^6</f>
        <v>0.9880831878069134</v>
      </c>
      <c r="C30" s="28">
        <f>A30*Cp!$K$35</f>
        <v>56.922092172640816</v>
      </c>
      <c r="D30" s="29">
        <f>B30*Cwl!$G$37</f>
        <v>7.0147842749744038</v>
      </c>
      <c r="E30" s="38"/>
      <c r="F30" s="36">
        <f t="shared" si="0"/>
        <v>0.45221555272414893</v>
      </c>
      <c r="G30" s="36"/>
      <c r="H30" s="36">
        <f>(C30+('Profile Calcs'!$P$32-'Profile Calcs'!$P$33))/'CWD Opt1 Calcs'!$B$4</f>
        <v>0.43739718743548223</v>
      </c>
      <c r="I30" s="39">
        <f>B30/'CWD Opt1 Calcs'!$B$6*Inputs!$B$4</f>
        <v>0.9880831878069134</v>
      </c>
    </row>
    <row r="31" spans="1:9" x14ac:dyDescent="0.25">
      <c r="A31" s="29">
        <v>0.5</v>
      </c>
      <c r="B31" s="42">
        <f>Cwl!$M$38+$H$6*A31+$H$7*A31^2+$H$8*A31^3+$H$9*A31^4+$H$10*A31^5+$H$11*A31^6</f>
        <v>0.99999999999991185</v>
      </c>
      <c r="C31" s="28">
        <f>A31*Cp!$K$35</f>
        <v>63.246769080712021</v>
      </c>
      <c r="D31" s="29">
        <f>B31*Cwl!$G$37</f>
        <v>7.099386328537129</v>
      </c>
      <c r="E31" s="38"/>
      <c r="F31" s="36">
        <f t="shared" si="0"/>
        <v>0</v>
      </c>
      <c r="G31" s="36"/>
      <c r="H31" s="36">
        <f>(C31+('Profile Calcs'!$P$32-'Profile Calcs'!$P$33))/'CWD Opt1 Calcs'!$B$4</f>
        <v>0.48510765283763041</v>
      </c>
      <c r="I31" s="39">
        <f>B31/'CWD Opt1 Calcs'!$B$6*Inputs!$B$4</f>
        <v>0.99999999999991185</v>
      </c>
    </row>
    <row r="32" spans="1:9" x14ac:dyDescent="0.25">
      <c r="A32" s="29">
        <v>0.55000000000000004</v>
      </c>
      <c r="B32" s="42">
        <f>Cwl!$M$38+$H$6*A32+$H$7*A32^2+$H$8*A32^3+$H$9*A32^4+$H$10*A32^5+$H$11*A32^6</f>
        <v>0.98622580623910538</v>
      </c>
      <c r="C32" s="28">
        <f>A32*Cp!$K$35</f>
        <v>69.571445988783225</v>
      </c>
      <c r="D32" s="29">
        <f>B32*Cwl!$G$37</f>
        <v>7.0015980056650298</v>
      </c>
      <c r="E32" s="38"/>
      <c r="F32" s="36">
        <f t="shared" si="0"/>
        <v>-0.56315370474516868</v>
      </c>
      <c r="G32" s="36"/>
      <c r="H32" s="36">
        <f>(C32+('Profile Calcs'!$P$32-'Profile Calcs'!$P$33))/'CWD Opt1 Calcs'!$B$4</f>
        <v>0.53281811823977865</v>
      </c>
      <c r="I32" s="39">
        <f>B32/'CWD Opt1 Calcs'!$B$6*Inputs!$B$4</f>
        <v>0.98622580623910527</v>
      </c>
    </row>
    <row r="33" spans="1:9" x14ac:dyDescent="0.25">
      <c r="A33" s="29">
        <v>0.6</v>
      </c>
      <c r="B33" s="42">
        <f>Cwl!$M$38+$H$6*A33+$H$7*A33^2+$H$8*A33^3+$H$9*A33^4+$H$10*A33^5+$H$11*A33^6</f>
        <v>0.94314637502494758</v>
      </c>
      <c r="C33" s="28">
        <f>A33*Cp!$K$35</f>
        <v>75.896122896854422</v>
      </c>
      <c r="D33" s="29">
        <f>B33*Cwl!$G$37</f>
        <v>6.695760480662055</v>
      </c>
      <c r="E33" s="38"/>
      <c r="F33" s="36">
        <f t="shared" si="0"/>
        <v>-1.158553357641015</v>
      </c>
      <c r="G33" s="36"/>
      <c r="H33" s="36">
        <f>(C33+('Profile Calcs'!$P$32-'Profile Calcs'!$P$33))/'CWD Opt1 Calcs'!$B$4</f>
        <v>0.58052858364192683</v>
      </c>
      <c r="I33" s="39">
        <f>B33/'CWD Opt1 Calcs'!$B$6*Inputs!$B$4</f>
        <v>0.94314637502494747</v>
      </c>
    </row>
    <row r="34" spans="1:9" x14ac:dyDescent="0.25">
      <c r="A34" s="29">
        <v>0.65</v>
      </c>
      <c r="B34" s="42">
        <f>Cwl!$M$38+$H$6*A34+$H$7*A34^2+$H$8*A34^3+$H$9*A34^4+$H$10*A34^5+$H$11*A34^6</f>
        <v>0.87117600398016393</v>
      </c>
      <c r="C34" s="28">
        <f>A34*Cp!$K$35</f>
        <v>82.220799804925633</v>
      </c>
      <c r="D34" s="29">
        <f>B34*Cwl!$G$37</f>
        <v>6.1848150124069292</v>
      </c>
      <c r="E34" s="38"/>
      <c r="F34" s="36">
        <f t="shared" si="0"/>
        <v>-1.7060270985215809</v>
      </c>
      <c r="G34" s="36"/>
      <c r="H34" s="36">
        <f>(C34+('Profile Calcs'!$P$32-'Profile Calcs'!$P$33))/'CWD Opt1 Calcs'!$B$4</f>
        <v>0.62823904904407513</v>
      </c>
      <c r="I34" s="39">
        <f>B34/'CWD Opt1 Calcs'!$B$6*Inputs!$B$4</f>
        <v>0.87117600398016393</v>
      </c>
    </row>
    <row r="35" spans="1:9" x14ac:dyDescent="0.25">
      <c r="A35" s="29">
        <v>0.7</v>
      </c>
      <c r="B35" s="42">
        <f>Cwl!$M$38+$H$6*A35+$H$7*A35^2+$H$8*A35^3+$H$9*A35^4+$H$10*A35^5+$H$11*A35^6</f>
        <v>0.77448993753629836</v>
      </c>
      <c r="C35" s="28">
        <f>A35*Cp!$K$35</f>
        <v>88.54547671299683</v>
      </c>
      <c r="D35" s="29">
        <f>B35*Cwl!$G$37</f>
        <v>5.4984032741352564</v>
      </c>
      <c r="E35" s="38"/>
      <c r="F35" s="36">
        <f t="shared" si="0"/>
        <v>-2.137586016057206</v>
      </c>
      <c r="G35" s="36"/>
      <c r="H35" s="36">
        <f>(C35+('Profile Calcs'!$P$32-'Profile Calcs'!$P$33))/'CWD Opt1 Calcs'!$B$4</f>
        <v>0.67594951444622331</v>
      </c>
      <c r="I35" s="39">
        <f>B35/'CWD Opt1 Calcs'!$B$6*Inputs!$B$4</f>
        <v>0.77448993753629836</v>
      </c>
    </row>
    <row r="36" spans="1:9" x14ac:dyDescent="0.25">
      <c r="A36" s="29">
        <v>0.75</v>
      </c>
      <c r="B36" s="42">
        <f>Cwl!$M$38+$H$6*A36+$H$7*A36^2+$H$8*A36^3+$H$9*A36^4+$H$10*A36^5+$H$11*A36^6</f>
        <v>0.66007365436348664</v>
      </c>
      <c r="C36" s="28">
        <f>A36*Cp!$K$35</f>
        <v>94.870153621068027</v>
      </c>
      <c r="D36" s="29">
        <f>B36*Cwl!$G$37</f>
        <v>4.686117877616093</v>
      </c>
      <c r="E36" s="38"/>
      <c r="F36" s="36">
        <f t="shared" si="0"/>
        <v>-2.4110867528872859</v>
      </c>
      <c r="G36" s="36"/>
      <c r="H36" s="36">
        <f>(C36+('Profile Calcs'!$P$32-'Profile Calcs'!$P$33))/'CWD Opt1 Calcs'!$B$4</f>
        <v>0.72365997984837138</v>
      </c>
      <c r="I36" s="39">
        <f>B36/'CWD Opt1 Calcs'!$B$6*Inputs!$B$4</f>
        <v>0.66007365436348664</v>
      </c>
    </row>
    <row r="37" spans="1:9" x14ac:dyDescent="0.25">
      <c r="A37" s="29">
        <v>0.8</v>
      </c>
      <c r="B37" s="42">
        <f>Cwl!$M$38+$H$6*A37+$H$7*A37^2+$H$8*A37^3+$H$9*A37^4+$H$10*A37^5+$H$11*A37^6</f>
        <v>0.53608902454377905</v>
      </c>
      <c r="C37" s="28">
        <f>A37*Cp!$K$35</f>
        <v>101.19483052913924</v>
      </c>
      <c r="D37" s="29">
        <f>B37*Cwl!$G$37</f>
        <v>3.8059030917252459</v>
      </c>
      <c r="E37" s="38"/>
      <c r="F37" s="36">
        <f t="shared" si="0"/>
        <v>-2.5238941107521811</v>
      </c>
      <c r="G37" s="36"/>
      <c r="H37" s="36">
        <f>(C37+('Profile Calcs'!$P$32-'Profile Calcs'!$P$33))/'CWD Opt1 Calcs'!$B$4</f>
        <v>0.77137044525051968</v>
      </c>
      <c r="I37" s="39">
        <f>B37/'CWD Opt1 Calcs'!$B$6*Inputs!$B$4</f>
        <v>0.53608902454377905</v>
      </c>
    </row>
    <row r="38" spans="1:9" x14ac:dyDescent="0.25">
      <c r="A38" s="29">
        <v>0.85</v>
      </c>
      <c r="B38" s="42">
        <f>Cwl!$M$38+$H$6*A38+$H$7*A38^2+$H$8*A38^3+$H$9*A38^4+$H$10*A38^5+$H$11*A38^6</f>
        <v>0.40955733648778292</v>
      </c>
      <c r="C38" s="28">
        <f>A38*Cp!$K$35</f>
        <v>107.51950743721044</v>
      </c>
      <c r="D38" s="29">
        <f>B38*Cwl!$G$37</f>
        <v>2.9076057554137034</v>
      </c>
      <c r="E38" s="38"/>
      <c r="F38" s="36">
        <f t="shared" si="0"/>
        <v>-2.526543655625801</v>
      </c>
      <c r="G38" s="36"/>
      <c r="H38" s="36">
        <f>(C38+('Profile Calcs'!$P$32-'Profile Calcs'!$P$33))/'CWD Opt1 Calcs'!$B$4</f>
        <v>0.81908091065266786</v>
      </c>
      <c r="I38" s="39">
        <f>B38/'CWD Opt1 Calcs'!$B$6*Inputs!$B$4</f>
        <v>0.40955733648778292</v>
      </c>
    </row>
    <row r="39" spans="1:9" x14ac:dyDescent="0.25">
      <c r="A39" s="29">
        <v>0.9</v>
      </c>
      <c r="B39" s="42">
        <f>Cwl!$M$38+$H$6*A39+$H$7*A39^2+$H$8*A39^3+$H$9*A39^4+$H$10*A39^5+$H$11*A39^6</f>
        <v>0.28335919359457762</v>
      </c>
      <c r="C39" s="28">
        <f>A39*Cp!$K$35</f>
        <v>113.84418434528163</v>
      </c>
      <c r="D39" s="29">
        <f>B39*Cwl!$G$37</f>
        <v>2.0116763850708272</v>
      </c>
      <c r="E39" s="38"/>
      <c r="F39" s="36">
        <f t="shared" si="0"/>
        <v>-2.5364043228472894</v>
      </c>
      <c r="G39" s="36"/>
      <c r="H39" s="36">
        <f>(C39+('Profile Calcs'!$P$32-'Profile Calcs'!$P$33))/'CWD Opt1 Calcs'!$B$4</f>
        <v>0.86679137605481604</v>
      </c>
      <c r="I39" s="39">
        <f>B39/'CWD Opt1 Calcs'!$B$6*Inputs!$B$4</f>
        <v>0.28335919359457762</v>
      </c>
    </row>
    <row r="40" spans="1:9" x14ac:dyDescent="0.25">
      <c r="A40" s="29">
        <v>0.95</v>
      </c>
      <c r="B40" s="42">
        <f>Cwl!$M$38+$H$6*A40+$H$7*A40^2+$H$8*A40^3+$H$9*A40^4+$H$10*A40^5+$H$11*A40^6</f>
        <v>0.15255128065530954</v>
      </c>
      <c r="C40" s="28">
        <f>A40*Cp!$K$35</f>
        <v>120.16886125335283</v>
      </c>
      <c r="D40" s="29">
        <f>B40*Cwl!$G$37</f>
        <v>1.0830204762852307</v>
      </c>
      <c r="E40" s="38"/>
      <c r="F40" s="36">
        <f t="shared" si="0"/>
        <v>-2.751341022253655</v>
      </c>
      <c r="G40" s="36"/>
      <c r="H40" s="36">
        <f>(C40+('Profile Calcs'!$P$32-'Profile Calcs'!$P$33))/'CWD Opt1 Calcs'!$B$4</f>
        <v>0.91450184145696423</v>
      </c>
      <c r="I40" s="39">
        <f>B40/'CWD Opt1 Calcs'!$B$6*Inputs!$B$4</f>
        <v>0.15255128065530954</v>
      </c>
    </row>
    <row r="41" spans="1:9" x14ac:dyDescent="0.25">
      <c r="A41" s="29">
        <v>1</v>
      </c>
      <c r="B41" s="42">
        <f>Cwl!$M$38+$H$6*A41+$H$7*A41^2+$H$8*A41^3+$H$9*A41^4+$H$10*A41^5+$H$11*A41^6</f>
        <v>-1.5631940186722204E-13</v>
      </c>
      <c r="C41" s="28">
        <f>A41*Cp!$K$35</f>
        <v>126.49353816142404</v>
      </c>
      <c r="D41" s="29">
        <f>B41*Cwl!$G$37</f>
        <v>-1.1097718245013554E-12</v>
      </c>
      <c r="E41" s="38"/>
      <c r="F41" s="36">
        <f t="shared" si="0"/>
        <v>-3.4633772433129479</v>
      </c>
      <c r="G41" s="36"/>
      <c r="H41" s="36">
        <f>(C41+('Profile Calcs'!$P$32-'Profile Calcs'!$P$33))/'CWD Opt1 Calcs'!$B$4</f>
        <v>0.96221230685911252</v>
      </c>
      <c r="I41" s="39">
        <f>B41/'CWD Opt1 Calcs'!$B$6*Inputs!$B$4</f>
        <v>-1.5631940186722204E-13</v>
      </c>
    </row>
    <row r="43" spans="1:9" x14ac:dyDescent="0.25">
      <c r="C43" s="28"/>
      <c r="D43" s="29"/>
      <c r="E43" s="28"/>
    </row>
    <row r="44" spans="1:9" x14ac:dyDescent="0.25">
      <c r="C44" s="28"/>
      <c r="D44" s="29"/>
      <c r="E44" s="28"/>
    </row>
  </sheetData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2"/>
  <sheetViews>
    <sheetView workbookViewId="0">
      <selection activeCell="B22" sqref="B22"/>
    </sheetView>
  </sheetViews>
  <sheetFormatPr defaultRowHeight="12.75" x14ac:dyDescent="0.2"/>
  <cols>
    <col min="1" max="1" width="1.7109375" style="99" customWidth="1"/>
    <col min="2" max="3" width="9.140625" style="99"/>
    <col min="4" max="4" width="9.42578125" style="99" bestFit="1" customWidth="1"/>
    <col min="5" max="16" width="9.140625" style="99"/>
    <col min="17" max="17" width="1.7109375" style="99" customWidth="1"/>
    <col min="18" max="16384" width="9.140625" style="99"/>
  </cols>
  <sheetData>
    <row r="1" spans="2:16" ht="13.5" thickBot="1" x14ac:dyDescent="0.25"/>
    <row r="2" spans="2:16" x14ac:dyDescent="0.2"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2"/>
    </row>
    <row r="3" spans="2:16" ht="23.25" x14ac:dyDescent="0.35">
      <c r="B3" s="288" t="s">
        <v>153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90"/>
    </row>
    <row r="4" spans="2:16" x14ac:dyDescent="0.2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</row>
    <row r="5" spans="2:16" x14ac:dyDescent="0.2">
      <c r="B5" s="103"/>
      <c r="C5" s="104" t="s">
        <v>154</v>
      </c>
      <c r="D5" s="104" t="s">
        <v>155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5"/>
    </row>
    <row r="6" spans="2:16" x14ac:dyDescent="0.2">
      <c r="B6" s="103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16" x14ac:dyDescent="0.2">
      <c r="B7" s="103"/>
      <c r="C7" s="106" t="s">
        <v>156</v>
      </c>
      <c r="D7" s="107">
        <v>40012</v>
      </c>
      <c r="E7" s="106" t="s">
        <v>157</v>
      </c>
      <c r="F7" s="104" t="s">
        <v>158</v>
      </c>
      <c r="G7" s="104"/>
      <c r="H7" s="104"/>
      <c r="I7" s="104"/>
      <c r="J7" s="104"/>
      <c r="K7" s="104"/>
      <c r="L7" s="104"/>
      <c r="M7" s="104"/>
      <c r="N7" s="104"/>
      <c r="O7" s="104"/>
      <c r="P7" s="105"/>
    </row>
    <row r="8" spans="2:16" x14ac:dyDescent="0.2">
      <c r="B8" s="103"/>
      <c r="C8" s="110" t="s">
        <v>267</v>
      </c>
      <c r="D8" s="107">
        <v>40050</v>
      </c>
      <c r="E8" s="110" t="s">
        <v>159</v>
      </c>
      <c r="F8" s="109" t="s">
        <v>268</v>
      </c>
      <c r="G8" s="104"/>
      <c r="H8" s="104"/>
      <c r="I8" s="104"/>
      <c r="J8" s="104"/>
      <c r="K8" s="104"/>
      <c r="L8" s="104"/>
      <c r="M8" s="104"/>
      <c r="N8" s="104"/>
      <c r="O8" s="104"/>
      <c r="P8" s="105"/>
    </row>
    <row r="9" spans="2:16" x14ac:dyDescent="0.2">
      <c r="B9" s="103"/>
      <c r="C9" s="110" t="s">
        <v>316</v>
      </c>
      <c r="D9" s="107">
        <v>40431</v>
      </c>
      <c r="E9" s="110" t="s">
        <v>159</v>
      </c>
      <c r="F9" s="109" t="s">
        <v>317</v>
      </c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0" spans="2:16" x14ac:dyDescent="0.2">
      <c r="B10" s="103"/>
      <c r="C10" s="110"/>
      <c r="D10" s="107"/>
      <c r="E10" s="111"/>
      <c r="F10" s="109" t="s">
        <v>318</v>
      </c>
      <c r="G10" s="104"/>
      <c r="H10" s="104"/>
      <c r="I10" s="104"/>
      <c r="J10" s="104"/>
      <c r="K10" s="104"/>
      <c r="L10" s="104"/>
      <c r="M10" s="104"/>
      <c r="N10" s="104"/>
      <c r="O10" s="104"/>
      <c r="P10" s="105"/>
    </row>
    <row r="11" spans="2:16" x14ac:dyDescent="0.2">
      <c r="B11" s="103"/>
      <c r="C11" s="110"/>
      <c r="D11" s="107"/>
      <c r="E11" s="110"/>
      <c r="F11" s="112" t="s">
        <v>323</v>
      </c>
      <c r="G11" s="104"/>
      <c r="H11" s="104"/>
      <c r="I11" s="104"/>
      <c r="J11" s="104"/>
      <c r="K11" s="104"/>
      <c r="L11" s="104"/>
      <c r="M11" s="104"/>
      <c r="N11" s="104"/>
      <c r="O11" s="104"/>
      <c r="P11" s="105"/>
    </row>
    <row r="12" spans="2:16" ht="13.5" thickBot="1" x14ac:dyDescent="0.25">
      <c r="B12" s="113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5"/>
    </row>
  </sheetData>
  <mergeCells count="1">
    <mergeCell ref="B3:P3"/>
  </mergeCells>
  <phoneticPr fontId="12" type="noConversion"/>
  <printOptions horizontalCentered="1" verticalCentered="1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zoomScale="85" zoomScaleNormal="85" workbookViewId="0">
      <selection activeCell="C5" sqref="C5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3" x14ac:dyDescent="0.25">
      <c r="A1" t="s">
        <v>126</v>
      </c>
    </row>
    <row r="2" spans="1:13" x14ac:dyDescent="0.25">
      <c r="A2" t="s">
        <v>330</v>
      </c>
      <c r="B2" t="s">
        <v>112</v>
      </c>
      <c r="C2" s="22">
        <f>IF(Cwl!D46="",0.5,Cwl!D46)</f>
        <v>0.45</v>
      </c>
      <c r="F2" t="s">
        <v>145</v>
      </c>
      <c r="G2">
        <f>Cwl!D37/COS(C6*PI()/180)</f>
        <v>128.86107912899718</v>
      </c>
      <c r="I2" t="s">
        <v>26</v>
      </c>
      <c r="J2">
        <f>Cwl!D37</f>
        <v>126.49353816142404</v>
      </c>
      <c r="L2" t="s">
        <v>146</v>
      </c>
      <c r="M2">
        <v>1</v>
      </c>
    </row>
    <row r="3" spans="1:13" x14ac:dyDescent="0.25">
      <c r="B3" t="s">
        <v>326</v>
      </c>
      <c r="C3" s="22">
        <v>0</v>
      </c>
      <c r="I3" t="s">
        <v>20</v>
      </c>
      <c r="J3">
        <f>G2*SIN(-C6*PI()/180)</f>
        <v>-24.587853051741398</v>
      </c>
      <c r="L3" t="s">
        <v>147</v>
      </c>
      <c r="M3">
        <f>-J3/Cwl!G37</f>
        <v>3.4633772433124799</v>
      </c>
    </row>
    <row r="4" spans="1:13" x14ac:dyDescent="0.25">
      <c r="B4" t="s">
        <v>329</v>
      </c>
      <c r="C4" s="22">
        <v>1</v>
      </c>
    </row>
    <row r="5" spans="1:13" x14ac:dyDescent="0.25">
      <c r="A5" t="s">
        <v>92</v>
      </c>
      <c r="B5" t="s">
        <v>327</v>
      </c>
      <c r="C5" s="22">
        <f>Cwl!M38</f>
        <v>0.60814500000000005</v>
      </c>
      <c r="G5">
        <f>Cwl!D37/COS(C7*PI()/180)</f>
        <v>126.8024224895411</v>
      </c>
      <c r="J5">
        <f>J2</f>
        <v>126.49353816142404</v>
      </c>
      <c r="M5">
        <f>M2</f>
        <v>1</v>
      </c>
    </row>
    <row r="6" spans="1:13" x14ac:dyDescent="0.25">
      <c r="A6" t="s">
        <v>138</v>
      </c>
      <c r="B6" t="s">
        <v>328</v>
      </c>
      <c r="C6" s="22">
        <f>IF(Cwl!D43="",Cwl!D42,Cwl!D43)</f>
        <v>11</v>
      </c>
      <c r="J6">
        <f>G2*SIN(-C7*PI()/180)</f>
        <v>8.9888944829015447</v>
      </c>
      <c r="M6">
        <f>-J6/Cwl!G37</f>
        <v>-1.2661509131808253</v>
      </c>
    </row>
    <row r="7" spans="1:13" x14ac:dyDescent="0.25">
      <c r="B7" t="s">
        <v>331</v>
      </c>
      <c r="C7" s="19">
        <f>-IF(Cwl!D45="",0.5*'Cwl Opt3 Calcs'!C6,Cwl!D45)</f>
        <v>-4</v>
      </c>
      <c r="E7">
        <f>IF(Cwl!D43="",Cwl!D42,Cwl!D43)</f>
        <v>11</v>
      </c>
    </row>
    <row r="8" spans="1:13" x14ac:dyDescent="0.25">
      <c r="A8" t="s">
        <v>7</v>
      </c>
      <c r="B8" t="s">
        <v>332</v>
      </c>
      <c r="C8" s="21">
        <f>Cwl!J37</f>
        <v>0.74170000000000003</v>
      </c>
      <c r="I8" s="16"/>
    </row>
    <row r="9" spans="1:13" x14ac:dyDescent="0.25">
      <c r="C9" s="21"/>
      <c r="I9" s="16"/>
    </row>
    <row r="10" spans="1:13" x14ac:dyDescent="0.25">
      <c r="C10" s="21"/>
      <c r="I10" s="16"/>
    </row>
    <row r="11" spans="1:13" x14ac:dyDescent="0.25">
      <c r="B11" s="14"/>
      <c r="H11" s="16"/>
    </row>
    <row r="12" spans="1:13" x14ac:dyDescent="0.25">
      <c r="B12" s="14"/>
      <c r="H12" s="16"/>
    </row>
    <row r="13" spans="1:13" x14ac:dyDescent="0.25">
      <c r="B13" s="14"/>
      <c r="H13" s="16"/>
    </row>
    <row r="14" spans="1:13" x14ac:dyDescent="0.25">
      <c r="B14" s="14"/>
      <c r="H14" s="16"/>
    </row>
    <row r="15" spans="1:13" x14ac:dyDescent="0.25">
      <c r="B15" s="14"/>
      <c r="H15" s="16"/>
    </row>
    <row r="16" spans="1:13" x14ac:dyDescent="0.25">
      <c r="B16" s="14"/>
      <c r="H16" s="16"/>
    </row>
    <row r="17" spans="1:10" x14ac:dyDescent="0.25">
      <c r="H17" s="16" t="s">
        <v>127</v>
      </c>
    </row>
    <row r="18" spans="1:10" x14ac:dyDescent="0.25">
      <c r="A18" s="56">
        <v>1</v>
      </c>
      <c r="B18" s="56">
        <v>1</v>
      </c>
      <c r="C18" s="56">
        <v>1</v>
      </c>
      <c r="D18" s="56">
        <v>1</v>
      </c>
      <c r="E18" s="56">
        <v>1</v>
      </c>
      <c r="F18" s="58">
        <v>1</v>
      </c>
      <c r="G18" s="16" t="s">
        <v>137</v>
      </c>
      <c r="H18" s="28">
        <f>MMULT(A25:F25,J18:J23)</f>
        <v>1.2661509131805742</v>
      </c>
      <c r="I18" s="28"/>
      <c r="J18" s="38">
        <f>-C5</f>
        <v>-0.60814500000000005</v>
      </c>
    </row>
    <row r="19" spans="1:10" x14ac:dyDescent="0.25">
      <c r="A19" s="56">
        <f>C2</f>
        <v>0.45</v>
      </c>
      <c r="B19" s="56">
        <f>C2^2</f>
        <v>0.20250000000000001</v>
      </c>
      <c r="C19" s="56">
        <f>C2^3</f>
        <v>9.1125000000000012E-2</v>
      </c>
      <c r="D19" s="56">
        <f>C2^4</f>
        <v>4.1006250000000008E-2</v>
      </c>
      <c r="E19" s="56">
        <f>C2^5</f>
        <v>1.8452812500000006E-2</v>
      </c>
      <c r="F19" s="56">
        <f>C2^6</f>
        <v>8.3037656250000026E-3</v>
      </c>
      <c r="G19" s="16" t="s">
        <v>129</v>
      </c>
      <c r="H19" s="28">
        <f>MMULT(A26:F26,J18:J23)</f>
        <v>-1.151715951811827</v>
      </c>
      <c r="I19" s="28"/>
      <c r="J19" s="38">
        <f>1-C5</f>
        <v>0.39185499999999995</v>
      </c>
    </row>
    <row r="20" spans="1:10" x14ac:dyDescent="0.25">
      <c r="A20" s="56">
        <v>1</v>
      </c>
      <c r="B20" s="56">
        <v>2</v>
      </c>
      <c r="C20" s="56">
        <v>3</v>
      </c>
      <c r="D20" s="56">
        <v>4</v>
      </c>
      <c r="E20" s="56">
        <v>5</v>
      </c>
      <c r="F20">
        <v>6</v>
      </c>
      <c r="G20" s="16" t="s">
        <v>130</v>
      </c>
      <c r="H20" s="28">
        <f>MMULT(A27:F27,J18:J23)</f>
        <v>6.4212039059293602</v>
      </c>
      <c r="I20" s="28"/>
      <c r="J20" s="38">
        <f>-M3</f>
        <v>-3.4633772433124799</v>
      </c>
    </row>
    <row r="21" spans="1:10" x14ac:dyDescent="0.25">
      <c r="A21" s="56">
        <v>1</v>
      </c>
      <c r="B21" s="56">
        <v>0</v>
      </c>
      <c r="C21" s="56">
        <v>0</v>
      </c>
      <c r="D21" s="58">
        <v>0</v>
      </c>
      <c r="E21" s="58">
        <v>0</v>
      </c>
      <c r="F21" s="58">
        <v>0</v>
      </c>
      <c r="G21" s="16" t="s">
        <v>131</v>
      </c>
      <c r="H21" s="28">
        <f>MMULT(A28:F28,J18:J23)</f>
        <v>-20.606946066915498</v>
      </c>
      <c r="I21" s="28"/>
      <c r="J21" s="38">
        <f>-M6</f>
        <v>1.2661509131808253</v>
      </c>
    </row>
    <row r="22" spans="1:10" x14ac:dyDescent="0.25">
      <c r="A22" s="56">
        <f>1/2</f>
        <v>0.5</v>
      </c>
      <c r="B22" s="56">
        <f>1/3</f>
        <v>0.33333333333333331</v>
      </c>
      <c r="C22" s="56">
        <f>1/4</f>
        <v>0.25</v>
      </c>
      <c r="D22" s="58">
        <f>1/5</f>
        <v>0.2</v>
      </c>
      <c r="E22" s="58">
        <f>1/6</f>
        <v>0.16666666666666666</v>
      </c>
      <c r="F22" s="58">
        <f>1/7</f>
        <v>0.14285714285714285</v>
      </c>
      <c r="G22" s="16" t="s">
        <v>132</v>
      </c>
      <c r="H22" s="28">
        <f>MMULT(A29:F29,J18:J23)</f>
        <v>20.040896900699693</v>
      </c>
      <c r="I22" s="28"/>
      <c r="J22" s="39">
        <f>C8-C5</f>
        <v>0.13355499999999998</v>
      </c>
    </row>
    <row r="23" spans="1:10" x14ac:dyDescent="0.25">
      <c r="A23" s="56">
        <v>1</v>
      </c>
      <c r="B23" s="56">
        <f>2*C2</f>
        <v>0.9</v>
      </c>
      <c r="C23" s="56">
        <f>3*C2^2</f>
        <v>0.60750000000000004</v>
      </c>
      <c r="D23" s="56">
        <f>4*C2^3</f>
        <v>0.36450000000000005</v>
      </c>
      <c r="E23" s="56">
        <f>5*C2^4</f>
        <v>0.20503125000000005</v>
      </c>
      <c r="F23" s="56">
        <f>6*C2^5</f>
        <v>0.11071687500000003</v>
      </c>
      <c r="G23" s="16" t="s">
        <v>133</v>
      </c>
      <c r="H23" s="28">
        <f>MMULT(A30:F30,J18:J23)</f>
        <v>-6.5777347010823348</v>
      </c>
      <c r="I23" s="28"/>
      <c r="J23" s="27">
        <v>0</v>
      </c>
    </row>
    <row r="24" spans="1:10" x14ac:dyDescent="0.25">
      <c r="A24" s="28"/>
      <c r="B24" s="28"/>
      <c r="C24" s="28"/>
      <c r="D24" s="28"/>
      <c r="E24" s="28"/>
      <c r="F24" s="28"/>
      <c r="G24" s="28"/>
      <c r="H24" s="28"/>
      <c r="I24" s="28"/>
    </row>
    <row r="25" spans="1:10" x14ac:dyDescent="0.25">
      <c r="A25" s="28">
        <f t="array" ref="A25:F30">MINVERSE(A18:F23)</f>
        <v>1.1368683772161603E-13</v>
      </c>
      <c r="B25" s="28">
        <v>-3.979039320256561E-13</v>
      </c>
      <c r="C25" s="28">
        <v>-3.5527136788005009E-15</v>
      </c>
      <c r="D25" s="28">
        <v>1.0000000000000178</v>
      </c>
      <c r="E25" s="28">
        <v>-4.5474735088646412E-13</v>
      </c>
      <c r="F25" s="28">
        <v>-2.4868995751603507E-14</v>
      </c>
      <c r="G25" s="28"/>
      <c r="H25" s="28"/>
      <c r="I25" s="28"/>
    </row>
    <row r="26" spans="1:10" x14ac:dyDescent="0.25">
      <c r="A26" s="28">
        <v>-33.319786261470426</v>
      </c>
      <c r="B26" s="28">
        <v>-60.750134126202738</v>
      </c>
      <c r="C26" s="28">
        <v>2.0676990808680529</v>
      </c>
      <c r="D26" s="28">
        <v>-9.2248182762201338</v>
      </c>
      <c r="E26" s="28">
        <v>158.97196261681893</v>
      </c>
      <c r="F26" s="28">
        <v>-11.67151549479496</v>
      </c>
      <c r="G26" s="28"/>
      <c r="H26" s="28"/>
      <c r="I26" s="28"/>
    </row>
    <row r="27" spans="1:10" x14ac:dyDescent="0.25">
      <c r="A27" s="28">
        <v>219.83945736814189</v>
      </c>
      <c r="B27" s="28">
        <v>477.24762902594125</v>
      </c>
      <c r="C27" s="28">
        <v>-13.994593342086262</v>
      </c>
      <c r="D27" s="28">
        <v>32.745125187492377</v>
      </c>
      <c r="E27" s="28">
        <v>-1024.4859813083749</v>
      </c>
      <c r="F27" s="28">
        <v>58.89156837896509</v>
      </c>
      <c r="G27" s="28"/>
      <c r="H27" s="28"/>
      <c r="I27" s="28"/>
    </row>
    <row r="28" spans="1:10" x14ac:dyDescent="0.25">
      <c r="A28" s="28">
        <v>-521.20010251582823</v>
      </c>
      <c r="B28" s="28">
        <v>-1182.1772675852467</v>
      </c>
      <c r="C28" s="28">
        <v>34.302734224142895</v>
      </c>
      <c r="D28" s="28">
        <v>-55.546036690895335</v>
      </c>
      <c r="E28" s="28">
        <v>2357.102803738223</v>
      </c>
      <c r="F28" s="28">
        <v>-104.12822647316935</v>
      </c>
      <c r="G28" s="28"/>
      <c r="H28" s="28"/>
      <c r="I28" s="28"/>
    </row>
    <row r="29" spans="1:10" x14ac:dyDescent="0.25">
      <c r="A29" s="28">
        <v>522.16097797311204</v>
      </c>
      <c r="B29" s="28">
        <v>1175.6121845974824</v>
      </c>
      <c r="C29" s="28">
        <v>-35.892484745499203</v>
      </c>
      <c r="D29" s="28">
        <v>44.755970924193988</v>
      </c>
      <c r="E29" s="28">
        <v>-2276.6355140185947</v>
      </c>
      <c r="F29" s="28">
        <v>78.267809788623367</v>
      </c>
      <c r="G29" s="28"/>
      <c r="H29" s="28"/>
      <c r="I29" s="28"/>
    </row>
    <row r="30" spans="1:10" x14ac:dyDescent="0.25">
      <c r="A30" s="28">
        <v>-186.48054656395539</v>
      </c>
      <c r="B30" s="28">
        <v>-409.93241191197382</v>
      </c>
      <c r="C30" s="28">
        <v>13.51664478257452</v>
      </c>
      <c r="D30" s="28">
        <v>-13.730241144570915</v>
      </c>
      <c r="E30" s="28">
        <v>785.04672897192813</v>
      </c>
      <c r="F30" s="28">
        <v>-21.359636199624124</v>
      </c>
      <c r="G30" s="28"/>
      <c r="H30" s="28"/>
      <c r="I30" s="28"/>
    </row>
    <row r="31" spans="1:10" x14ac:dyDescent="0.25">
      <c r="A31" s="28"/>
      <c r="B31" s="28"/>
      <c r="C31" s="28"/>
      <c r="D31" s="28"/>
      <c r="E31" s="28"/>
      <c r="F31" s="28"/>
      <c r="G31" s="28"/>
      <c r="H31" s="28"/>
      <c r="I31" s="28"/>
    </row>
    <row r="32" spans="1:10" x14ac:dyDescent="0.25">
      <c r="A32" s="28" t="s">
        <v>115</v>
      </c>
      <c r="B32" s="28" t="s">
        <v>118</v>
      </c>
      <c r="C32" s="28" t="s">
        <v>114</v>
      </c>
      <c r="D32" s="55" t="s">
        <v>140</v>
      </c>
      <c r="E32" s="38"/>
      <c r="F32" s="60" t="s">
        <v>136</v>
      </c>
      <c r="G32" s="38"/>
      <c r="H32" s="57" t="s">
        <v>142</v>
      </c>
      <c r="I32" s="57" t="s">
        <v>320</v>
      </c>
    </row>
    <row r="33" spans="1:9" x14ac:dyDescent="0.25">
      <c r="A33" s="29">
        <v>0</v>
      </c>
      <c r="B33" s="42">
        <f>Cwl!$M$38+$H$18*A33+$H$19*A33^2+$H$20*A33^3+$H$21*A33^4+$H$22*A33^5+$H$23*A33^6</f>
        <v>0.60814500000000005</v>
      </c>
      <c r="C33" s="28">
        <f>A33*Cp!$K$35</f>
        <v>0</v>
      </c>
      <c r="D33" s="29">
        <f>B33*Cwl!$G$37</f>
        <v>4.3174562987685938</v>
      </c>
      <c r="E33" s="38"/>
      <c r="F33" s="36">
        <f>$H$18+2*$H$19*A33+3*$H$20*A33^2+4*$H$21*A33^3+5*$H$22*A33^4+6*$H$23*A33^5</f>
        <v>1.2661509131805742</v>
      </c>
      <c r="G33" s="36"/>
      <c r="H33" s="36">
        <f>(C33+('Profile Calcs'!$P$32-'Profile Calcs'!$P$33))/'CWD Opt1 Calcs'!$B$4</f>
        <v>8.0029988161484222E-3</v>
      </c>
      <c r="I33" s="39">
        <f>B33/'CWD Opt1 Calcs'!$B$6*Inputs!$B$4</f>
        <v>0.60814500000000005</v>
      </c>
    </row>
    <row r="34" spans="1:9" x14ac:dyDescent="0.25">
      <c r="A34" s="29">
        <v>0.05</v>
      </c>
      <c r="B34" s="42">
        <f>Cwl!$M$38+$H$18*A34+$H$19*A34^2+$H$20*A34^3+$H$21*A34^4+$H$22*A34^5+$H$23*A34^6</f>
        <v>0.66925327285799885</v>
      </c>
      <c r="C34" s="28">
        <f>A34*Cp!$K$35</f>
        <v>6.3246769080712024</v>
      </c>
      <c r="D34" s="29">
        <f>B34*Cwl!$G$37</f>
        <v>4.7512875356572248</v>
      </c>
      <c r="E34" s="38"/>
      <c r="F34" s="36">
        <f t="shared" ref="F34:F53" si="0">$H$18+2*$H$19*A34+3*$H$20*A34^2+4*$H$21*A34^3+5*$H$22*A34^4+6*$H$23*A34^5</f>
        <v>1.1894488190359864</v>
      </c>
      <c r="G34" s="36"/>
      <c r="H34" s="36">
        <f>(C34+('Profile Calcs'!$P$32-'Profile Calcs'!$P$33))/'CWD Opt1 Calcs'!$B$4</f>
        <v>5.5713464218296628E-2</v>
      </c>
      <c r="I34" s="39">
        <f>B34/'CWD Opt1 Calcs'!$B$6*Inputs!$B$4</f>
        <v>0.66925327285799885</v>
      </c>
    </row>
    <row r="35" spans="1:9" x14ac:dyDescent="0.25">
      <c r="A35" s="29">
        <v>0.1</v>
      </c>
      <c r="B35" s="42">
        <f>Cwl!$M$38+$H$18*A35+$H$19*A35^2+$H$20*A35^3+$H$21*A35^4+$H$22*A35^5+$H$23*A35^6</f>
        <v>0.7277972723334829</v>
      </c>
      <c r="C35" s="28">
        <f>A35*Cp!$K$35</f>
        <v>12.649353816142405</v>
      </c>
      <c r="D35" s="29">
        <f>B35*Cwl!$G$37</f>
        <v>5.1669140051513978</v>
      </c>
      <c r="E35" s="38"/>
      <c r="F35" s="36">
        <f t="shared" si="0"/>
        <v>1.1556418400967126</v>
      </c>
      <c r="G35" s="36"/>
      <c r="H35" s="36">
        <f>(C35+('Profile Calcs'!$P$32-'Profile Calcs'!$P$33))/'CWD Opt1 Calcs'!$B$4</f>
        <v>0.10342392962044483</v>
      </c>
      <c r="I35" s="39">
        <f>B35/'CWD Opt1 Calcs'!$B$6*Inputs!$B$4</f>
        <v>0.7277972723334829</v>
      </c>
    </row>
    <row r="36" spans="1:9" x14ac:dyDescent="0.25">
      <c r="A36" s="29">
        <v>0.15</v>
      </c>
      <c r="B36" s="42">
        <f>Cwl!$M$38+$H$18*A36+$H$19*A36^2+$H$20*A36^3+$H$21*A36^4+$H$22*A36^5+$H$23*A36^6</f>
        <v>0.78484025589652306</v>
      </c>
      <c r="C36" s="28">
        <f>A36*Cp!$K$35</f>
        <v>18.974030724213605</v>
      </c>
      <c r="D36" s="29">
        <f>B36*Cwl!$G$37</f>
        <v>5.5718841827978496</v>
      </c>
      <c r="E36" s="38"/>
      <c r="F36" s="36">
        <f t="shared" si="0"/>
        <v>1.1236051592906142</v>
      </c>
      <c r="G36" s="36"/>
      <c r="H36" s="36">
        <f>(C36+('Profile Calcs'!$P$32-'Profile Calcs'!$P$33))/'CWD Opt1 Calcs'!$B$4</f>
        <v>0.15113439502259302</v>
      </c>
      <c r="I36" s="39">
        <f>B36/'CWD Opt1 Calcs'!$B$6*Inputs!$B$4</f>
        <v>0.78484025589652306</v>
      </c>
    </row>
    <row r="37" spans="1:9" x14ac:dyDescent="0.25">
      <c r="A37" s="29">
        <v>0.2</v>
      </c>
      <c r="B37" s="42">
        <f>Cwl!$M$38+$H$18*A37+$H$19*A37^2+$H$20*A37^3+$H$21*A37^4+$H$22*A37^5+$H$23*A37^6</f>
        <v>0.83969717409136657</v>
      </c>
      <c r="C37" s="28">
        <f>A37*Cp!$K$35</f>
        <v>25.29870763228481</v>
      </c>
      <c r="D37" s="29">
        <f>B37*Cwl!$G$37</f>
        <v>5.9613346378560355</v>
      </c>
      <c r="E37" s="38"/>
      <c r="F37" s="36">
        <f t="shared" si="0"/>
        <v>1.0642846516055902</v>
      </c>
      <c r="G37" s="36"/>
      <c r="H37" s="36">
        <f>(C37+('Profile Calcs'!$P$32-'Profile Calcs'!$P$33))/'CWD Opt1 Calcs'!$B$4</f>
        <v>0.19884486042474125</v>
      </c>
      <c r="I37" s="39">
        <f>B37/'CWD Opt1 Calcs'!$B$6*Inputs!$B$4</f>
        <v>0.83969717409136657</v>
      </c>
    </row>
    <row r="38" spans="1:9" x14ac:dyDescent="0.25">
      <c r="A38" s="29">
        <v>0.25</v>
      </c>
      <c r="B38" s="42">
        <f>Cwl!$M$38+$H$18*A38+$H$19*A38^2+$H$20*A38^3+$H$21*A38^4+$H$22*A38^5+$H$23*A38^6</f>
        <v>0.89050120538174504</v>
      </c>
      <c r="C38" s="28">
        <f>A38*Cp!$K$35</f>
        <v>31.62338454035601</v>
      </c>
      <c r="D38" s="29">
        <f>B38*Cwl!$G$37</f>
        <v>6.3220120830335524</v>
      </c>
      <c r="E38" s="38"/>
      <c r="F38" s="36">
        <f t="shared" si="0"/>
        <v>0.95921689378183372</v>
      </c>
      <c r="G38" s="36"/>
      <c r="H38" s="36">
        <f>(C38+('Profile Calcs'!$P$32-'Profile Calcs'!$P$33))/'CWD Opt1 Calcs'!$B$4</f>
        <v>0.24655532582688947</v>
      </c>
      <c r="I38" s="39">
        <f>B38/'CWD Opt1 Calcs'!$B$6*Inputs!$B$4</f>
        <v>0.89050120538174493</v>
      </c>
    </row>
    <row r="39" spans="1:9" x14ac:dyDescent="0.25">
      <c r="A39" s="29">
        <v>0.3</v>
      </c>
      <c r="B39" s="42">
        <f>Cwl!$M$38+$H$18*A39+$H$19*A39^2+$H$20*A39^3+$H$21*A39^4+$H$22*A39^5+$H$23*A39^6</f>
        <v>0.93469629148079614</v>
      </c>
      <c r="C39" s="28">
        <f>A39*Cp!$K$35</f>
        <v>37.948061448427211</v>
      </c>
      <c r="D39" s="29">
        <f>B39*Cwl!$G$37</f>
        <v>6.6357700730737044</v>
      </c>
      <c r="E39" s="38"/>
      <c r="F39" s="36">
        <f t="shared" si="0"/>
        <v>0.7990491740040887</v>
      </c>
      <c r="G39" s="36"/>
      <c r="H39" s="36">
        <f>(C39+('Profile Calcs'!$P$32-'Profile Calcs'!$P$33))/'CWD Opt1 Calcs'!$B$4</f>
        <v>0.29426579122903762</v>
      </c>
      <c r="I39" s="39">
        <f>B39/'CWD Opt1 Calcs'!$B$6*Inputs!$B$4</f>
        <v>0.93469629148079625</v>
      </c>
    </row>
    <row r="40" spans="1:9" x14ac:dyDescent="0.25">
      <c r="A40" s="29">
        <v>0.35</v>
      </c>
      <c r="B40" s="42">
        <f>Cwl!$M$38+$H$18*A40+$H$19*A40^2+$H$20*A40^3+$H$21*A40^4+$H$22*A40^5+$H$23*A40^6</f>
        <v>0.96945567316559722</v>
      </c>
      <c r="C40" s="28">
        <f>A40*Cp!$K$35</f>
        <v>44.272738356498415</v>
      </c>
      <c r="D40" s="29">
        <f>B40*Cwl!$G$37</f>
        <v>6.8825403521952069</v>
      </c>
      <c r="E40" s="38"/>
      <c r="F40" s="36">
        <f t="shared" si="0"/>
        <v>0.58205950159390563</v>
      </c>
      <c r="G40" s="36"/>
      <c r="H40" s="36">
        <f>(C40+('Profile Calcs'!$P$32-'Profile Calcs'!$P$33))/'CWD Opt1 Calcs'!$B$4</f>
        <v>0.34197625663118586</v>
      </c>
      <c r="I40" s="39">
        <f>B40/'CWD Opt1 Calcs'!$B$6*Inputs!$B$4</f>
        <v>0.96945567316559722</v>
      </c>
    </row>
    <row r="41" spans="1:9" x14ac:dyDescent="0.25">
      <c r="A41" s="29">
        <v>0.4</v>
      </c>
      <c r="B41" s="42">
        <f>Cwl!$M$38+$H$18*A41+$H$19*A41^2+$H$20*A41^3+$H$21*A41^4+$H$22*A41^5+$H$23*A41^6</f>
        <v>0.99202642657631113</v>
      </c>
      <c r="C41" s="28">
        <f>A41*Cp!$K$35</f>
        <v>50.597415264569619</v>
      </c>
      <c r="D41" s="29">
        <f>B41*Cwl!$G$37</f>
        <v>7.0427788503840265</v>
      </c>
      <c r="E41" s="38"/>
      <c r="F41" s="36">
        <f t="shared" si="0"/>
        <v>0.31267661670190028</v>
      </c>
      <c r="G41" s="36"/>
      <c r="H41" s="36">
        <f>(C41+('Profile Calcs'!$P$32-'Profile Calcs'!$P$33))/'CWD Opt1 Calcs'!$B$4</f>
        <v>0.38968672203333404</v>
      </c>
      <c r="I41" s="39">
        <f>B41/'CWD Opt1 Calcs'!$B$6*Inputs!$B$4</f>
        <v>0.99202642657631113</v>
      </c>
    </row>
    <row r="42" spans="1:9" x14ac:dyDescent="0.25">
      <c r="A42" s="29">
        <v>0.45</v>
      </c>
      <c r="B42" s="42">
        <f>Cwl!$M$38+$H$18*A42+$H$19*A42^2+$H$20*A42^3+$H$21*A42^4+$H$22*A42^5+$H$23*A42^6</f>
        <v>0.99999999999994815</v>
      </c>
      <c r="C42" s="28">
        <f>A42*Cp!$K$35</f>
        <v>56.922092172640816</v>
      </c>
      <c r="D42" s="29">
        <f>B42*Cwl!$G$37</f>
        <v>7.0993863285373875</v>
      </c>
      <c r="E42" s="38"/>
      <c r="F42" s="36">
        <f t="shared" si="0"/>
        <v>5.440092820663267E-15</v>
      </c>
      <c r="G42" s="36"/>
      <c r="H42" s="36">
        <f>(C42+('Profile Calcs'!$P$32-'Profile Calcs'!$P$33))/'CWD Opt1 Calcs'!$B$4</f>
        <v>0.43739718743548223</v>
      </c>
      <c r="I42" s="39">
        <f>B42/'CWD Opt1 Calcs'!$B$6*Inputs!$B$4</f>
        <v>0.99999999999994804</v>
      </c>
    </row>
    <row r="43" spans="1:9" x14ac:dyDescent="0.25">
      <c r="A43" s="29">
        <v>0.5</v>
      </c>
      <c r="B43" s="42">
        <f>Cwl!$M$38+$H$18*A43+$H$19*A43^2+$H$20*A43^3+$H$21*A43^4+$H$22*A43^5+$H$23*A43^6</f>
        <v>0.99150875113873571</v>
      </c>
      <c r="C43" s="28">
        <f>A43*Cp!$K$35</f>
        <v>63.246769080712021</v>
      </c>
      <c r="D43" s="29">
        <f>B43*Cwl!$G$37</f>
        <v>7.0391036724598841</v>
      </c>
      <c r="E43" s="38"/>
      <c r="F43" s="36">
        <f t="shared" si="0"/>
        <v>-0.34368011762626516</v>
      </c>
      <c r="G43" s="36"/>
      <c r="H43" s="36">
        <f>(C43+('Profile Calcs'!$P$32-'Profile Calcs'!$P$33))/'CWD Opt1 Calcs'!$B$4</f>
        <v>0.48510765283763041</v>
      </c>
      <c r="I43" s="39">
        <f>B43/'CWD Opt1 Calcs'!$B$6*Inputs!$B$4</f>
        <v>0.9915087511387356</v>
      </c>
    </row>
    <row r="44" spans="1:9" x14ac:dyDescent="0.25">
      <c r="A44" s="29">
        <v>0.55000000000000004</v>
      </c>
      <c r="B44" s="42">
        <f>Cwl!$M$38+$H$18*A44+$H$19*A44^2+$H$20*A44^3+$H$21*A44^4+$H$22*A44^5+$H$23*A44^6</f>
        <v>0.96534848486310576</v>
      </c>
      <c r="C44" s="28">
        <f>A44*Cp!$K$35</f>
        <v>69.571445988783225</v>
      </c>
      <c r="D44" s="29">
        <f>B44*Cwl!$G$37</f>
        <v>6.8533818357117688</v>
      </c>
      <c r="E44" s="38"/>
      <c r="F44" s="36">
        <f t="shared" si="0"/>
        <v>-0.70436274538557053</v>
      </c>
      <c r="G44" s="36"/>
      <c r="H44" s="36">
        <f>(C44+('Profile Calcs'!$P$32-'Profile Calcs'!$P$33))/'CWD Opt1 Calcs'!$B$4</f>
        <v>0.53281811823977865</v>
      </c>
      <c r="I44" s="39">
        <f>B44/'CWD Opt1 Calcs'!$B$6*Inputs!$B$4</f>
        <v>0.96534848486310565</v>
      </c>
    </row>
    <row r="45" spans="1:9" x14ac:dyDescent="0.25">
      <c r="A45" s="29">
        <v>0.6</v>
      </c>
      <c r="B45" s="42">
        <f>Cwl!$M$38+$H$18*A45+$H$19*A45^2+$H$20*A45^3+$H$21*A45^4+$H$22*A45^5+$H$23*A45^6</f>
        <v>0.92102699144929068</v>
      </c>
      <c r="C45" s="28">
        <f>A45*Cp!$K$35</f>
        <v>75.896122896854422</v>
      </c>
      <c r="D45" s="29">
        <f>B45*Cwl!$G$37</f>
        <v>6.538726431309354</v>
      </c>
      <c r="E45" s="38"/>
      <c r="F45" s="36">
        <f t="shared" si="0"/>
        <v>-1.0678161228884728</v>
      </c>
      <c r="G45" s="36"/>
      <c r="H45" s="36">
        <f>(C45+('Profile Calcs'!$P$32-'Profile Calcs'!$P$33))/'CWD Opt1 Calcs'!$B$4</f>
        <v>0.58052858364192683</v>
      </c>
      <c r="I45" s="39">
        <f>B45/'CWD Opt1 Calcs'!$B$6*Inputs!$B$4</f>
        <v>0.92102699144929068</v>
      </c>
    </row>
    <row r="46" spans="1:9" x14ac:dyDescent="0.25">
      <c r="A46" s="29">
        <v>0.65</v>
      </c>
      <c r="B46" s="42">
        <f>Cwl!$M$38+$H$18*A46+$H$19*A46^2+$H$20*A46^3+$H$21*A46^4+$H$22*A46^5+$H$23*A46^6</f>
        <v>0.8587385853015379</v>
      </c>
      <c r="C46" s="28">
        <f>A46*Cp!$K$35</f>
        <v>82.220799804925633</v>
      </c>
      <c r="D46" s="29">
        <f>B46*Cwl!$G$37</f>
        <v>6.0965169722775912</v>
      </c>
      <c r="E46" s="38"/>
      <c r="F46" s="36">
        <f t="shared" si="0"/>
        <v>-1.4210577104551989</v>
      </c>
      <c r="G46" s="36"/>
      <c r="H46" s="36">
        <f>(C46+('Profile Calcs'!$P$32-'Profile Calcs'!$P$33))/'CWD Opt1 Calcs'!$B$4</f>
        <v>0.62823904904407513</v>
      </c>
      <c r="I46" s="39">
        <f>B46/'CWD Opt1 Calcs'!$B$6*Inputs!$B$4</f>
        <v>0.8587385853015379</v>
      </c>
    </row>
    <row r="47" spans="1:9" x14ac:dyDescent="0.25">
      <c r="A47" s="29">
        <v>0.7</v>
      </c>
      <c r="B47" s="42">
        <f>Cwl!$M$38+$H$18*A47+$H$19*A47^2+$H$20*A47^3+$H$21*A47^4+$H$22*A47^5+$H$23*A47^6</f>
        <v>0.77926464415892849</v>
      </c>
      <c r="C47" s="28">
        <f>A47*Cp!$K$35</f>
        <v>88.54547671299683</v>
      </c>
      <c r="D47" s="29">
        <f>B47*Cwl!$G$37</f>
        <v>5.5323007610547359</v>
      </c>
      <c r="E47" s="38"/>
      <c r="F47" s="36">
        <f t="shared" si="0"/>
        <v>-1.753834179423353</v>
      </c>
      <c r="G47" s="36"/>
      <c r="H47" s="36">
        <f>(C47+('Profile Calcs'!$P$32-'Profile Calcs'!$P$33))/'CWD Opt1 Calcs'!$B$4</f>
        <v>0.67594951444622331</v>
      </c>
      <c r="I47" s="39">
        <f>B47/'CWD Opt1 Calcs'!$B$6*Inputs!$B$4</f>
        <v>0.77926464415892849</v>
      </c>
    </row>
    <row r="48" spans="1:9" x14ac:dyDescent="0.25">
      <c r="A48" s="29">
        <v>0.75</v>
      </c>
      <c r="B48" s="42">
        <f>Cwl!$M$38+$H$18*A48+$H$19*A48^2+$H$20*A48^3+$H$21*A48^4+$H$22*A48^5+$H$23*A48^6</f>
        <v>0.68380014878681705</v>
      </c>
      <c r="C48" s="28">
        <f>A48*Cp!$K$35</f>
        <v>94.870153621068027</v>
      </c>
      <c r="D48" s="29">
        <f>B48*Cwl!$G$37</f>
        <v>4.8545614277492115</v>
      </c>
      <c r="E48" s="38"/>
      <c r="F48" s="36">
        <f t="shared" si="0"/>
        <v>-2.0601014024557092</v>
      </c>
      <c r="G48" s="36"/>
      <c r="H48" s="36">
        <f>(C48+('Profile Calcs'!$P$32-'Profile Calcs'!$P$33))/'CWD Opt1 Calcs'!$B$4</f>
        <v>0.72365997984837138</v>
      </c>
      <c r="I48" s="39">
        <f>B48/'CWD Opt1 Calcs'!$B$6*Inputs!$B$4</f>
        <v>0.68380014878681705</v>
      </c>
    </row>
    <row r="49" spans="1:9" x14ac:dyDescent="0.25">
      <c r="A49" s="29">
        <v>0.8</v>
      </c>
      <c r="B49" s="42">
        <f>Cwl!$M$38+$H$18*A49+$H$19*A49^2+$H$20*A49^3+$H$21*A49^4+$H$22*A49^5+$H$23*A49^6</f>
        <v>0.57370622315288178</v>
      </c>
      <c r="C49" s="28">
        <f>A49*Cp!$K$35</f>
        <v>101.19483052913924</v>
      </c>
      <c r="D49" s="29">
        <f>B49*Cwl!$G$37</f>
        <v>4.0729621172485997</v>
      </c>
      <c r="E49" s="38"/>
      <c r="F49" s="36">
        <f t="shared" si="0"/>
        <v>-2.3395044438478969</v>
      </c>
      <c r="G49" s="36"/>
      <c r="H49" s="36">
        <f>(C49+('Profile Calcs'!$P$32-'Profile Calcs'!$P$33))/'CWD Opt1 Calcs'!$B$4</f>
        <v>0.77137044525051968</v>
      </c>
      <c r="I49" s="39">
        <f>B49/'CWD Opt1 Calcs'!$B$6*Inputs!$B$4</f>
        <v>0.57370622315288178</v>
      </c>
    </row>
    <row r="50" spans="1:9" x14ac:dyDescent="0.25">
      <c r="A50" s="29">
        <v>0.85</v>
      </c>
      <c r="B50" s="42">
        <f>Cwl!$M$38+$H$18*A50+$H$19*A50^2+$H$20*A50^3+$H$21*A50^4+$H$22*A50^5+$H$23*A50^6</f>
        <v>0.45018867508778548</v>
      </c>
      <c r="C50" s="28">
        <f>A50*Cp!$K$35</f>
        <v>107.51950743721044</v>
      </c>
      <c r="D50" s="29">
        <f>B50*Cwl!$G$37</f>
        <v>3.19606332518075</v>
      </c>
      <c r="E50" s="38"/>
      <c r="F50" s="36">
        <f t="shared" si="0"/>
        <v>-2.598857549836211</v>
      </c>
      <c r="G50" s="36"/>
      <c r="H50" s="36">
        <f>(C50+('Profile Calcs'!$P$32-'Profile Calcs'!$P$33))/'CWD Opt1 Calcs'!$B$4</f>
        <v>0.81908091065266786</v>
      </c>
      <c r="I50" s="39">
        <f>B50/'CWD Opt1 Calcs'!$B$6*Inputs!$B$4</f>
        <v>0.45018867508778548</v>
      </c>
    </row>
    <row r="51" spans="1:9" x14ac:dyDescent="0.25">
      <c r="A51" s="29">
        <v>0.9</v>
      </c>
      <c r="B51" s="42">
        <f>Cwl!$M$38+$H$18*A51+$H$19*A51^2+$H$20*A51^3+$H$21*A51^4+$H$22*A51^5+$H$23*A51^6</f>
        <v>0.31390253743044694</v>
      </c>
      <c r="C51" s="28">
        <f>A51*Cp!$K$35</f>
        <v>113.84418434528163</v>
      </c>
      <c r="D51" s="29">
        <f>B51*Cwl!$G$37</f>
        <v>2.2285153827270259</v>
      </c>
      <c r="E51" s="38"/>
      <c r="F51" s="36">
        <f t="shared" si="0"/>
        <v>-2.8536241389052712</v>
      </c>
      <c r="G51" s="36"/>
      <c r="H51" s="36">
        <f>(C51+('Profile Calcs'!$P$32-'Profile Calcs'!$P$33))/'CWD Opt1 Calcs'!$B$4</f>
        <v>0.86679137605481604</v>
      </c>
      <c r="I51" s="39">
        <f>B51/'CWD Opt1 Calcs'!$B$6*Inputs!$B$4</f>
        <v>0.31390253743044694</v>
      </c>
    </row>
    <row r="52" spans="1:9" x14ac:dyDescent="0.25">
      <c r="A52" s="29">
        <v>0.95</v>
      </c>
      <c r="B52" s="42">
        <f>Cwl!$M$38+$H$18*A52+$H$19*A52^2+$H$20*A52^3+$H$21*A52^4+$H$22*A52^5+$H$23*A52^6</f>
        <v>0.16448260965793526</v>
      </c>
      <c r="C52" s="28">
        <f>A52*Cp!$K$35</f>
        <v>120.16886125335283</v>
      </c>
      <c r="D52" s="29">
        <f>B52*Cwl!$G$37</f>
        <v>1.1677255902877577</v>
      </c>
      <c r="E52" s="38"/>
      <c r="F52" s="36">
        <f t="shared" si="0"/>
        <v>-3.1293967920958323</v>
      </c>
      <c r="G52" s="36"/>
      <c r="H52" s="36">
        <f>(C52+('Profile Calcs'!$P$32-'Profile Calcs'!$P$33))/'CWD Opt1 Calcs'!$B$4</f>
        <v>0.91450184145696423</v>
      </c>
      <c r="I52" s="39">
        <f>B52/'CWD Opt1 Calcs'!$B$6*Inputs!$B$4</f>
        <v>0.16448260965793526</v>
      </c>
    </row>
    <row r="53" spans="1:9" x14ac:dyDescent="0.25">
      <c r="A53" s="29">
        <v>1</v>
      </c>
      <c r="B53" s="42">
        <f>Cwl!$M$38+$H$18*A53+$H$19*A53^2+$H$20*A53^3+$H$21*A53^4+$H$22*A53^5+$H$23*A53^6</f>
        <v>-3.1974423109204508E-14</v>
      </c>
      <c r="C53" s="28">
        <f>A53*Cp!$K$35</f>
        <v>126.49353816142404</v>
      </c>
      <c r="D53" s="29">
        <f>B53*Cwl!$G$37</f>
        <v>-2.2699878228436815E-13</v>
      </c>
      <c r="E53" s="38"/>
      <c r="F53" s="36">
        <f t="shared" si="0"/>
        <v>-3.4633772433125358</v>
      </c>
      <c r="G53" s="36"/>
      <c r="H53" s="36">
        <f>(C53+('Profile Calcs'!$P$32-'Profile Calcs'!$P$33))/'CWD Opt1 Calcs'!$B$4</f>
        <v>0.96221230685911252</v>
      </c>
      <c r="I53" s="39">
        <f>B53/'CWD Opt1 Calcs'!$B$6*Inputs!$B$4</f>
        <v>-3.1974423109204508E-14</v>
      </c>
    </row>
    <row r="55" spans="1:9" x14ac:dyDescent="0.25">
      <c r="C55" s="28"/>
      <c r="D55" s="29"/>
      <c r="E55" s="28"/>
    </row>
    <row r="56" spans="1:9" x14ac:dyDescent="0.25">
      <c r="C56" s="28"/>
      <c r="D56" s="29"/>
      <c r="E56" s="2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workbookViewId="0">
      <selection activeCell="B22" sqref="B22"/>
    </sheetView>
  </sheetViews>
  <sheetFormatPr defaultRowHeight="12.75" x14ac:dyDescent="0.2"/>
  <cols>
    <col min="1" max="1" width="12" style="28" bestFit="1" customWidth="1"/>
    <col min="2" max="10" width="9.140625" style="28"/>
    <col min="11" max="11" width="13.140625" style="28" bestFit="1" customWidth="1"/>
    <col min="12" max="16384" width="9.140625" style="28"/>
  </cols>
  <sheetData>
    <row r="1" spans="1:9" x14ac:dyDescent="0.2">
      <c r="A1" s="28" t="s">
        <v>102</v>
      </c>
    </row>
    <row r="2" spans="1:9" x14ac:dyDescent="0.2">
      <c r="A2" s="55" t="s">
        <v>319</v>
      </c>
      <c r="B2" s="28">
        <f>IF(CWD!D39="",CWD!D37,CWD!D39)</f>
        <v>0</v>
      </c>
    </row>
    <row r="3" spans="1:9" x14ac:dyDescent="0.2">
      <c r="A3" s="55" t="s">
        <v>321</v>
      </c>
      <c r="B3" s="29">
        <f>Inputs!B5-Inputs!B6</f>
        <v>4.1097699748028926</v>
      </c>
    </row>
    <row r="4" spans="1:9" x14ac:dyDescent="0.2">
      <c r="A4" s="55" t="s">
        <v>239</v>
      </c>
      <c r="B4" s="29">
        <f>'Profile Calcs'!B16-'Profile Calcs'!B30</f>
        <v>132.56372275476542</v>
      </c>
    </row>
    <row r="5" spans="1:9" x14ac:dyDescent="0.2">
      <c r="A5" s="28" t="s">
        <v>96</v>
      </c>
      <c r="B5" s="29">
        <f>CWD!$L$44</f>
        <v>5</v>
      </c>
    </row>
    <row r="6" spans="1:9" x14ac:dyDescent="0.2">
      <c r="A6" s="28" t="s">
        <v>22</v>
      </c>
      <c r="B6" s="28">
        <f>Inputs!B4+(SIN(B2*PI()/180)*B3)</f>
        <v>14.19877265707551</v>
      </c>
      <c r="C6" s="98" t="s">
        <v>313</v>
      </c>
      <c r="D6" s="28">
        <f>Inputs!B4</f>
        <v>14.19877265707551</v>
      </c>
      <c r="E6" s="98" t="s">
        <v>322</v>
      </c>
      <c r="F6" s="28">
        <f>(SIN(B2*PI()/180)*B3)</f>
        <v>0</v>
      </c>
    </row>
    <row r="7" spans="1:9" x14ac:dyDescent="0.2">
      <c r="A7" s="28" t="s">
        <v>95</v>
      </c>
      <c r="B7" s="29">
        <f>CWD!$N$44</f>
        <v>0.78230189917656678</v>
      </c>
    </row>
    <row r="8" spans="1:9" x14ac:dyDescent="0.2">
      <c r="A8" s="28" t="s">
        <v>92</v>
      </c>
      <c r="B8" s="28">
        <f>B6*B10</f>
        <v>8.5192635942453059</v>
      </c>
    </row>
    <row r="10" spans="1:9" x14ac:dyDescent="0.2">
      <c r="A10" s="28" t="s">
        <v>90</v>
      </c>
      <c r="B10" s="28">
        <f>CWD!$J$44</f>
        <v>0.6</v>
      </c>
    </row>
    <row r="11" spans="1:9" x14ac:dyDescent="0.2">
      <c r="A11" s="28" t="s">
        <v>120</v>
      </c>
      <c r="B11" s="28">
        <f>B5</f>
        <v>5</v>
      </c>
    </row>
    <row r="13" spans="1:9" x14ac:dyDescent="0.2">
      <c r="A13" s="28">
        <v>1</v>
      </c>
      <c r="B13" s="28">
        <v>1</v>
      </c>
      <c r="C13" s="28">
        <v>1</v>
      </c>
      <c r="D13" s="28">
        <v>1</v>
      </c>
      <c r="E13" s="28">
        <v>1</v>
      </c>
      <c r="G13" s="28">
        <f>MMULT(A19:E19,I13:I17)</f>
        <v>2.7451702695330402</v>
      </c>
      <c r="I13" s="28">
        <f>-B10</f>
        <v>-0.6</v>
      </c>
    </row>
    <row r="14" spans="1:9" x14ac:dyDescent="0.2">
      <c r="A14" s="28">
        <v>0.5</v>
      </c>
      <c r="B14" s="28">
        <v>0.25</v>
      </c>
      <c r="C14" s="28">
        <v>0.125</v>
      </c>
      <c r="D14" s="28">
        <f>1/16</f>
        <v>6.25E-2</v>
      </c>
      <c r="E14" s="28">
        <f>1/32</f>
        <v>3.125E-2</v>
      </c>
      <c r="G14" s="28">
        <f>MMULT(A20:E20,I13:I17)</f>
        <v>-10.478077936137211</v>
      </c>
      <c r="I14" s="28">
        <f>1-B10</f>
        <v>0.4</v>
      </c>
    </row>
    <row r="15" spans="1:9" x14ac:dyDescent="0.2">
      <c r="A15" s="28">
        <v>1</v>
      </c>
      <c r="B15" s="28">
        <v>1</v>
      </c>
      <c r="C15" s="28">
        <v>0.75</v>
      </c>
      <c r="D15" s="28">
        <v>0.5</v>
      </c>
      <c r="E15" s="28">
        <f>5/16</f>
        <v>0.3125</v>
      </c>
      <c r="G15" s="28">
        <f>MMULT(A21:E21,I13:I17)</f>
        <v>24.322495098624444</v>
      </c>
      <c r="I15" s="28">
        <v>0</v>
      </c>
    </row>
    <row r="16" spans="1:9" x14ac:dyDescent="0.2">
      <c r="A16" s="28">
        <v>0.5</v>
      </c>
      <c r="B16" s="28">
        <f>1/3</f>
        <v>0.33333333333333331</v>
      </c>
      <c r="C16" s="28">
        <v>0.25</v>
      </c>
      <c r="D16" s="28">
        <v>0.2</v>
      </c>
      <c r="E16" s="28">
        <f>1/6</f>
        <v>0.16666666666666666</v>
      </c>
      <c r="G16" s="28">
        <f>MMULT(A22:E22,I13:I17)</f>
        <v>-27.398493785908414</v>
      </c>
      <c r="I16" s="28">
        <f>B7-B10</f>
        <v>0.18230189917656681</v>
      </c>
    </row>
    <row r="17" spans="1:11" x14ac:dyDescent="0.2">
      <c r="A17" s="28">
        <f>1/3</f>
        <v>0.33333333333333331</v>
      </c>
      <c r="B17" s="28">
        <v>0.25</v>
      </c>
      <c r="C17" s="28">
        <v>0.2</v>
      </c>
      <c r="D17" s="28">
        <f>1/6</f>
        <v>0.16666666666666666</v>
      </c>
      <c r="E17" s="28">
        <f>1/7</f>
        <v>0.14285714285714285</v>
      </c>
      <c r="G17" s="28">
        <f>MMULT(A23:E23,I13:I17)</f>
        <v>10.208906353888125</v>
      </c>
      <c r="I17" s="28">
        <f>(0.5-B11/100)*B7-0.5*B10</f>
        <v>5.2035854629455092E-2</v>
      </c>
    </row>
    <row r="19" spans="1:11" x14ac:dyDescent="0.2">
      <c r="A19" s="28">
        <f t="array" ref="A19:E23">MINVERSE(Data)</f>
        <v>3.00000000000027</v>
      </c>
      <c r="B19" s="28">
        <v>-16.000000000000387</v>
      </c>
      <c r="C19" s="28">
        <v>2.6666666666669556</v>
      </c>
      <c r="D19" s="28">
        <v>100.00000000000455</v>
      </c>
      <c r="E19" s="28">
        <v>-140.00000000000841</v>
      </c>
    </row>
    <row r="20" spans="1:11" x14ac:dyDescent="0.2">
      <c r="A20" s="28">
        <v>-28.000000000001904</v>
      </c>
      <c r="B20" s="28">
        <v>96.000000000002629</v>
      </c>
      <c r="C20" s="28">
        <v>-26.666666666668391</v>
      </c>
      <c r="D20" s="28">
        <v>-640.00000000002933</v>
      </c>
      <c r="E20" s="28">
        <v>980.00000000005184</v>
      </c>
    </row>
    <row r="21" spans="1:11" x14ac:dyDescent="0.2">
      <c r="A21" s="28">
        <v>90.000000000004633</v>
      </c>
      <c r="B21" s="28">
        <v>-160.00000000000645</v>
      </c>
      <c r="C21" s="28">
        <v>80.00000000000405</v>
      </c>
      <c r="D21" s="28">
        <v>1500.0000000000703</v>
      </c>
      <c r="E21" s="28">
        <v>-2520.0000000001223</v>
      </c>
    </row>
    <row r="22" spans="1:11" x14ac:dyDescent="0.2">
      <c r="A22" s="28">
        <v>-120.0000000000048</v>
      </c>
      <c r="B22" s="28">
        <v>80.000000000006821</v>
      </c>
      <c r="C22" s="28">
        <v>-93.333333333337521</v>
      </c>
      <c r="D22" s="28">
        <v>-1520.000000000073</v>
      </c>
      <c r="E22" s="28">
        <v>2800.0000000001264</v>
      </c>
    </row>
    <row r="23" spans="1:11" x14ac:dyDescent="0.2">
      <c r="A23" s="28">
        <v>56.000000000001805</v>
      </c>
      <c r="B23" s="28">
        <v>-2.6112445539184789E-12</v>
      </c>
      <c r="C23" s="28">
        <v>37.333333333334906</v>
      </c>
      <c r="D23" s="28">
        <v>560.00000000002751</v>
      </c>
      <c r="E23" s="28">
        <v>-1120.0000000000475</v>
      </c>
    </row>
    <row r="25" spans="1:11" x14ac:dyDescent="0.2">
      <c r="A25" s="28" t="s">
        <v>115</v>
      </c>
      <c r="B25" s="28" t="s">
        <v>118</v>
      </c>
      <c r="C25" s="28" t="s">
        <v>114</v>
      </c>
      <c r="D25" s="28" t="s">
        <v>119</v>
      </c>
      <c r="H25" s="59" t="s">
        <v>136</v>
      </c>
      <c r="I25" s="59"/>
    </row>
    <row r="26" spans="1:11" x14ac:dyDescent="0.2">
      <c r="A26" s="29">
        <v>0</v>
      </c>
      <c r="B26" s="42">
        <f>$B$10+$G$13*A26+$G$14*A26^2+$G$15*A26^3+$G$16*A26^4+$G$17*A26^5</f>
        <v>0.6</v>
      </c>
      <c r="C26" s="28">
        <f>A26*'CWD Opt1 Calcs'!$B$4-(-Inputs!$B$3-'Profile Calcs'!$P$33)</f>
        <v>-0.87355857509876955</v>
      </c>
      <c r="D26" s="29">
        <f t="shared" ref="D26:D46" si="0">B26*$B$6/2</f>
        <v>4.2596317971226529</v>
      </c>
      <c r="E26" s="42">
        <f t="shared" ref="E26:E46" si="1">-B26</f>
        <v>-0.6</v>
      </c>
      <c r="F26" s="29">
        <f t="shared" ref="F26:F46" si="2">-D26</f>
        <v>-4.2596317971226529</v>
      </c>
      <c r="H26" s="28">
        <f>$G$13+2*$G$14*A26+3*$G$15*A26^2+4*$G$16*A26^3+5*$G$17*A26^4</f>
        <v>2.7451702695330402</v>
      </c>
      <c r="I26" s="29"/>
      <c r="J26" s="36">
        <f>20-C26/'Cwl Opt1 Calcs'!$B$2*20</f>
        <v>20.138119083045016</v>
      </c>
    </row>
    <row r="27" spans="1:11" x14ac:dyDescent="0.2">
      <c r="A27" s="29">
        <v>0.05</v>
      </c>
      <c r="B27" s="42">
        <f>$B$10+$G$13*A27+$G$14*A27^2+$G$15*A27^3+$G$16*A27^4+$G$17*A27^5</f>
        <v>0.71393558022071069</v>
      </c>
      <c r="C27" s="28">
        <f>A27*'CWD Opt1 Calcs'!$B$4-(-Inputs!$B$3-'Profile Calcs'!$P$33)</f>
        <v>5.7546275626395023</v>
      </c>
      <c r="D27" s="29">
        <f t="shared" si="0"/>
        <v>5.0685044976755833</v>
      </c>
      <c r="E27" s="42">
        <f t="shared" si="1"/>
        <v>-0.71393558022071069</v>
      </c>
      <c r="F27" s="29">
        <f t="shared" si="2"/>
        <v>-5.0685044976755833</v>
      </c>
      <c r="H27" s="28">
        <f t="shared" ref="H27:H46" si="3">$G$13+2*$G$14*A27+3*$G$15*A27^2+4*$G$16*A27^3+5*$G$17*A27^4</f>
        <v>1.8664009705896072</v>
      </c>
      <c r="I27" s="29"/>
      <c r="J27" s="36">
        <f>20-C27/'Cwl Opt1 Calcs'!$B$2*20</f>
        <v>19.090130982770713</v>
      </c>
      <c r="K27" s="29"/>
    </row>
    <row r="28" spans="1:11" x14ac:dyDescent="0.2">
      <c r="A28" s="29">
        <v>0.1</v>
      </c>
      <c r="B28" s="42">
        <f t="shared" ref="B28:B46" si="4">$B$10+$G$13*A28+$G$14*A28^2+$G$15*A28^3+$G$16*A28^4+$G$17*A28^5</f>
        <v>0.79142098237550451</v>
      </c>
      <c r="C28" s="28">
        <f>A28*'CWD Opt1 Calcs'!$B$4-(-Inputs!$B$3-'Profile Calcs'!$P$33)</f>
        <v>12.382813700377774</v>
      </c>
      <c r="D28" s="29">
        <f t="shared" si="0"/>
        <v>5.6186033023945763</v>
      </c>
      <c r="E28" s="42">
        <f t="shared" si="1"/>
        <v>-0.79142098237550451</v>
      </c>
      <c r="F28" s="29">
        <f t="shared" si="2"/>
        <v>-5.6186033023945763</v>
      </c>
      <c r="H28" s="28">
        <f t="shared" si="3"/>
        <v>1.2747400132976419</v>
      </c>
      <c r="I28" s="29"/>
      <c r="J28" s="36">
        <f>20-C28/'Cwl Opt1 Calcs'!$B$2*20</f>
        <v>18.042142882496414</v>
      </c>
      <c r="K28" s="29"/>
    </row>
    <row r="29" spans="1:11" x14ac:dyDescent="0.2">
      <c r="A29" s="29">
        <v>0.15</v>
      </c>
      <c r="B29" s="42">
        <f t="shared" si="4"/>
        <v>0.84501195917185856</v>
      </c>
      <c r="C29" s="28">
        <f>A29*'CWD Opt1 Calcs'!$B$4-(-Inputs!$B$3-'Profile Calcs'!$P$33)</f>
        <v>19.010999838116042</v>
      </c>
      <c r="D29" s="29">
        <f t="shared" si="0"/>
        <v>5.9990663503955961</v>
      </c>
      <c r="E29" s="42">
        <f t="shared" si="1"/>
        <v>-0.84501195917185856</v>
      </c>
      <c r="F29" s="29">
        <f t="shared" si="2"/>
        <v>-5.9990663503955961</v>
      </c>
      <c r="H29" s="28">
        <f t="shared" si="3"/>
        <v>0.89947693594754252</v>
      </c>
      <c r="I29" s="29"/>
      <c r="J29" s="36">
        <f>20-C29/'Cwl Opt1 Calcs'!$B$2*20</f>
        <v>16.994154782222115</v>
      </c>
      <c r="K29" s="29"/>
    </row>
    <row r="30" spans="1:11" x14ac:dyDescent="0.2">
      <c r="A30" s="29">
        <v>0.2</v>
      </c>
      <c r="B30" s="42">
        <f t="shared" si="4"/>
        <v>0.88392015722590567</v>
      </c>
      <c r="C30" s="28">
        <f>A30*'CWD Opt1 Calcs'!$B$4-(-Inputs!$B$3-'Profile Calcs'!$P$33)</f>
        <v>25.639185975854318</v>
      </c>
      <c r="D30" s="29">
        <f t="shared" si="0"/>
        <v>6.2752906797285375</v>
      </c>
      <c r="E30" s="42">
        <f t="shared" si="1"/>
        <v>-0.88392015722590567</v>
      </c>
      <c r="F30" s="29">
        <f t="shared" si="2"/>
        <v>-6.2752906797285375</v>
      </c>
      <c r="H30" s="28">
        <f t="shared" si="3"/>
        <v>0.67755795659512519</v>
      </c>
      <c r="I30" s="29"/>
      <c r="J30" s="36">
        <f>20-C30/'Cwl Opt1 Calcs'!$B$2*20</f>
        <v>15.946166681947815</v>
      </c>
      <c r="K30" s="29"/>
    </row>
    <row r="31" spans="1:11" x14ac:dyDescent="0.2">
      <c r="A31" s="29">
        <v>0.25</v>
      </c>
      <c r="B31" s="42">
        <f t="shared" si="4"/>
        <v>0.91439595105070526</v>
      </c>
      <c r="C31" s="28">
        <f>A31*'CWD Opt1 Calcs'!$B$4-(-Inputs!$B$3-'Profile Calcs'!$P$33)</f>
        <v>32.267372113592586</v>
      </c>
      <c r="D31" s="29">
        <f t="shared" si="0"/>
        <v>6.4916501137596549</v>
      </c>
      <c r="E31" s="42">
        <f t="shared" si="1"/>
        <v>-0.91439595105070526</v>
      </c>
      <c r="F31" s="29">
        <f t="shared" si="2"/>
        <v>-6.4916501137596549</v>
      </c>
      <c r="H31" s="28">
        <f t="shared" si="3"/>
        <v>0.55358597306161939</v>
      </c>
      <c r="I31" s="29"/>
      <c r="J31" s="36">
        <f>20-C31/'Cwl Opt1 Calcs'!$B$2*20</f>
        <v>14.898178581673516</v>
      </c>
      <c r="K31" s="29"/>
    </row>
    <row r="32" spans="1:11" x14ac:dyDescent="0.2">
      <c r="A32" s="29">
        <v>0.3</v>
      </c>
      <c r="B32" s="42">
        <f t="shared" si="4"/>
        <v>0.94011127704451303</v>
      </c>
      <c r="C32" s="28">
        <f>A32*'CWD Opt1 Calcs'!$B$4-(-Inputs!$B$3-'Profile Calcs'!$P$33)</f>
        <v>38.895558251330854</v>
      </c>
      <c r="D32" s="29">
        <f t="shared" si="0"/>
        <v>6.6742131475539859</v>
      </c>
      <c r="E32" s="42">
        <f t="shared" si="1"/>
        <v>-0.94011127704451303</v>
      </c>
      <c r="F32" s="29">
        <f t="shared" si="2"/>
        <v>-6.6742131475539859</v>
      </c>
      <c r="H32" s="28">
        <f t="shared" si="3"/>
        <v>0.47982056293367387</v>
      </c>
      <c r="I32" s="29"/>
      <c r="J32" s="36">
        <f>20-C32/'Cwl Opt1 Calcs'!$B$2*20</f>
        <v>13.850190481399217</v>
      </c>
      <c r="K32" s="29"/>
    </row>
    <row r="33" spans="1:11" x14ac:dyDescent="0.2">
      <c r="A33" s="29">
        <v>0.35</v>
      </c>
      <c r="B33" s="42">
        <f t="shared" si="4"/>
        <v>0.96254246747905214</v>
      </c>
      <c r="C33" s="28">
        <f>A33*'CWD Opt1 Calcs'!$B$4-(-Inputs!$B$3-'Profile Calcs'!$P$33)</f>
        <v>45.523744389069122</v>
      </c>
      <c r="D33" s="29">
        <f t="shared" si="0"/>
        <v>6.8334608342577798</v>
      </c>
      <c r="E33" s="42">
        <f t="shared" si="1"/>
        <v>-0.96254246747905214</v>
      </c>
      <c r="F33" s="29">
        <f t="shared" si="2"/>
        <v>-6.8334608342577798</v>
      </c>
      <c r="H33" s="28">
        <f t="shared" si="3"/>
        <v>0.41617798356335134</v>
      </c>
      <c r="I33" s="29"/>
      <c r="J33" s="36">
        <f>20-C33/'Cwl Opt1 Calcs'!$B$2*20</f>
        <v>12.802202381124916</v>
      </c>
      <c r="K33" s="29"/>
    </row>
    <row r="34" spans="1:11" x14ac:dyDescent="0.2">
      <c r="A34" s="29">
        <v>0.4</v>
      </c>
      <c r="B34" s="42">
        <f t="shared" si="4"/>
        <v>0.98135308448778558</v>
      </c>
      <c r="C34" s="28">
        <f>A34*'CWD Opt1 Calcs'!$B$4-(-Inputs!$B$3-'Profile Calcs'!$P$33)</f>
        <v>52.151930526807405</v>
      </c>
      <c r="D34" s="29">
        <f t="shared" si="0"/>
        <v>6.9670046714809413</v>
      </c>
      <c r="E34" s="42">
        <f t="shared" si="1"/>
        <v>-0.98135308448778558</v>
      </c>
      <c r="F34" s="29">
        <f t="shared" si="2"/>
        <v>-6.9670046714809413</v>
      </c>
      <c r="H34" s="28">
        <f t="shared" si="3"/>
        <v>0.33023117206813146</v>
      </c>
      <c r="I34" s="29"/>
      <c r="J34" s="36">
        <f>20-C34/'Cwl Opt1 Calcs'!$B$2*20</f>
        <v>11.754214280850615</v>
      </c>
      <c r="K34" s="29"/>
    </row>
    <row r="35" spans="1:11" x14ac:dyDescent="0.2">
      <c r="A35" s="29">
        <v>0.45</v>
      </c>
      <c r="B35" s="42">
        <f t="shared" si="4"/>
        <v>0.99477675405418442</v>
      </c>
      <c r="C35" s="28">
        <f>A35*'CWD Opt1 Calcs'!$B$4-(-Inputs!$B$3-'Profile Calcs'!$P$33)</f>
        <v>58.780116664545673</v>
      </c>
      <c r="D35" s="29">
        <f t="shared" si="0"/>
        <v>7.0623044876794419</v>
      </c>
      <c r="E35" s="42">
        <f t="shared" si="1"/>
        <v>-0.99477675405418442</v>
      </c>
      <c r="F35" s="29">
        <f t="shared" si="2"/>
        <v>-7.0623044876794419</v>
      </c>
      <c r="H35" s="28">
        <f t="shared" si="3"/>
        <v>0.19720974533090763</v>
      </c>
      <c r="I35" s="29"/>
      <c r="J35" s="36">
        <f>20-C35/'Cwl Opt1 Calcs'!$B$2*20</f>
        <v>10.706226180576316</v>
      </c>
      <c r="K35" s="29"/>
    </row>
    <row r="36" spans="1:11" x14ac:dyDescent="0.2">
      <c r="A36" s="29">
        <v>0.5</v>
      </c>
      <c r="B36" s="42">
        <f t="shared" si="4"/>
        <v>1.0000000000000009</v>
      </c>
      <c r="C36" s="28">
        <f>A36*'CWD Opt1 Calcs'!$B$4-(-Inputs!$B$3-'Profile Calcs'!$P$33)</f>
        <v>65.408302802283941</v>
      </c>
      <c r="D36" s="29">
        <f t="shared" si="0"/>
        <v>7.0993863285377614</v>
      </c>
      <c r="E36" s="42">
        <f t="shared" si="1"/>
        <v>-1.0000000000000009</v>
      </c>
      <c r="F36" s="29">
        <f t="shared" si="2"/>
        <v>-7.0993863285377614</v>
      </c>
      <c r="H36" s="28">
        <f t="shared" si="3"/>
        <v>-5.3290705182007514E-15</v>
      </c>
      <c r="I36" s="29"/>
      <c r="J36" s="36">
        <f>20-C36/'Cwl Opt1 Calcs'!$B$2*20</f>
        <v>9.6582380803020165</v>
      </c>
      <c r="K36" s="29"/>
    </row>
    <row r="37" spans="1:11" x14ac:dyDescent="0.2">
      <c r="A37" s="29">
        <v>0.55000000000000004</v>
      </c>
      <c r="B37" s="42">
        <f t="shared" si="4"/>
        <v>0.99354507797353764</v>
      </c>
      <c r="C37" s="28">
        <f>A37*'CWD Opt1 Calcs'!$B$4-(-Inputs!$B$3-'Profile Calcs'!$P$33)</f>
        <v>72.036488940022224</v>
      </c>
      <c r="D37" s="29">
        <f t="shared" si="0"/>
        <v>7.053560343351311</v>
      </c>
      <c r="E37" s="42">
        <f t="shared" si="1"/>
        <v>-0.99354507797353764</v>
      </c>
      <c r="F37" s="29">
        <f t="shared" si="2"/>
        <v>-7.053560343351311</v>
      </c>
      <c r="H37" s="28">
        <f t="shared" si="3"/>
        <v>-0.27085508751088394</v>
      </c>
      <c r="I37" s="29"/>
      <c r="J37" s="36">
        <f>20-C37/'Cwl Opt1 Calcs'!$B$2*20</f>
        <v>8.6102499800277155</v>
      </c>
      <c r="K37" s="29"/>
    </row>
    <row r="38" spans="1:11" x14ac:dyDescent="0.2">
      <c r="A38" s="29">
        <v>0.6</v>
      </c>
      <c r="B38" s="42">
        <f t="shared" si="4"/>
        <v>0.97165280943791832</v>
      </c>
      <c r="C38" s="28">
        <f>A38*'CWD Opt1 Calcs'!$B$4-(-Inputs!$B$3-'Profile Calcs'!$P$33)</f>
        <v>78.664675077760478</v>
      </c>
      <c r="D38" s="29">
        <f t="shared" si="0"/>
        <v>6.8981386714088577</v>
      </c>
      <c r="E38" s="42">
        <f t="shared" si="1"/>
        <v>-0.97165280943791832</v>
      </c>
      <c r="F38" s="29">
        <f t="shared" si="2"/>
        <v>-6.8981386714088577</v>
      </c>
      <c r="H38" s="28">
        <f t="shared" si="3"/>
        <v>-0.61715586102257713</v>
      </c>
      <c r="I38" s="29"/>
      <c r="J38" s="36">
        <f>20-C38/'Cwl Opt1 Calcs'!$B$2*20</f>
        <v>7.562261879753418</v>
      </c>
      <c r="K38" s="29"/>
    </row>
    <row r="39" spans="1:11" x14ac:dyDescent="0.2">
      <c r="A39" s="29">
        <v>0.65</v>
      </c>
      <c r="B39" s="42">
        <f t="shared" si="4"/>
        <v>0.93066541565936056</v>
      </c>
      <c r="C39" s="28">
        <f>A39*'CWD Opt1 Calcs'!$B$4-(-Inputs!$B$3-'Profile Calcs'!$P$33)</f>
        <v>85.29286121549876</v>
      </c>
      <c r="D39" s="29">
        <f t="shared" si="0"/>
        <v>6.6071533283749719</v>
      </c>
      <c r="E39" s="42">
        <f t="shared" si="1"/>
        <v>-0.93066541565936056</v>
      </c>
      <c r="F39" s="29">
        <f t="shared" si="2"/>
        <v>-6.6071533283749719</v>
      </c>
      <c r="H39" s="28">
        <f t="shared" si="3"/>
        <v>-1.0330459845905366</v>
      </c>
      <c r="I39" s="29"/>
      <c r="J39" s="36">
        <f>20-C39/'Cwl Opt1 Calcs'!$B$2*20</f>
        <v>6.5142737794791152</v>
      </c>
      <c r="K39" s="29"/>
    </row>
    <row r="40" spans="1:11" x14ac:dyDescent="0.2">
      <c r="A40" s="29">
        <v>0.7</v>
      </c>
      <c r="B40" s="42">
        <f t="shared" si="4"/>
        <v>0.86740935169544597</v>
      </c>
      <c r="C40" s="28">
        <f>A40*'CWD Opt1 Calcs'!$B$4-(-Inputs!$B$3-'Profile Calcs'!$P$33)</f>
        <v>91.921047353237014</v>
      </c>
      <c r="D40" s="29">
        <f t="shared" si="0"/>
        <v>6.1580740926724467</v>
      </c>
      <c r="E40" s="42">
        <f t="shared" si="1"/>
        <v>-0.86740935169544597</v>
      </c>
      <c r="F40" s="29">
        <f t="shared" si="2"/>
        <v>-6.1580740926724467</v>
      </c>
      <c r="H40" s="28">
        <f t="shared" si="3"/>
        <v>-1.5050124425047731</v>
      </c>
      <c r="I40" s="29"/>
      <c r="J40" s="36">
        <f>20-C40/'Cwl Opt1 Calcs'!$B$2*20</f>
        <v>5.4662856792048196</v>
      </c>
      <c r="K40" s="29"/>
    </row>
    <row r="41" spans="1:11" x14ac:dyDescent="0.2">
      <c r="A41" s="29">
        <v>0.75</v>
      </c>
      <c r="B41" s="42">
        <f t="shared" si="4"/>
        <v>0.77957814038338613</v>
      </c>
      <c r="C41" s="28">
        <f>A41*'CWD Opt1 Calcs'!$B$4-(-Inputs!$B$3-'Profile Calcs'!$P$33)</f>
        <v>98.549233490975297</v>
      </c>
      <c r="D41" s="29">
        <f t="shared" si="0"/>
        <v>5.5345263918646985</v>
      </c>
      <c r="E41" s="42">
        <f t="shared" si="1"/>
        <v>-0.77957814038338613</v>
      </c>
      <c r="F41" s="29">
        <f t="shared" si="2"/>
        <v>-5.5345263918646985</v>
      </c>
      <c r="H41" s="28">
        <f t="shared" si="3"/>
        <v>-2.0118855392899064</v>
      </c>
      <c r="I41" s="29"/>
      <c r="J41" s="36">
        <f>20-C41/'Cwl Opt1 Calcs'!$B$2*20</f>
        <v>4.4182975789305168</v>
      </c>
      <c r="K41" s="29"/>
    </row>
    <row r="42" spans="1:11" x14ac:dyDescent="0.2">
      <c r="A42" s="29">
        <v>0.8</v>
      </c>
      <c r="B42" s="42">
        <f t="shared" si="4"/>
        <v>0.66611520632830468</v>
      </c>
      <c r="C42" s="28">
        <f>A42*'CWD Opt1 Calcs'!$B$4-(-Inputs!$B$3-'Profile Calcs'!$P$33)</f>
        <v>105.17741962871358</v>
      </c>
      <c r="D42" s="29">
        <f t="shared" si="0"/>
        <v>4.7290091890382726</v>
      </c>
      <c r="E42" s="42">
        <f t="shared" si="1"/>
        <v>-0.66611520632830468</v>
      </c>
      <c r="F42" s="29">
        <f t="shared" si="2"/>
        <v>-4.7290091890382726</v>
      </c>
      <c r="H42" s="28">
        <f t="shared" si="3"/>
        <v>-2.524838899705113</v>
      </c>
      <c r="I42" s="29"/>
      <c r="J42" s="36">
        <f>20-C42/'Cwl Opt1 Calcs'!$B$2*20</f>
        <v>3.3703094786562175</v>
      </c>
      <c r="K42" s="29"/>
    </row>
    <row r="43" spans="1:11" x14ac:dyDescent="0.2">
      <c r="A43" s="29">
        <v>0.85</v>
      </c>
      <c r="B43" s="42">
        <f t="shared" si="4"/>
        <v>0.52759670989149932</v>
      </c>
      <c r="C43" s="28">
        <f>A43*'CWD Opt1 Calcs'!$B$4-(-Inputs!$B$3-'Profile Calcs'!$P$33)</f>
        <v>111.80560576645183</v>
      </c>
      <c r="D43" s="29">
        <f t="shared" si="0"/>
        <v>3.7456128691852104</v>
      </c>
      <c r="E43" s="42">
        <f t="shared" si="1"/>
        <v>-0.52759670989149932</v>
      </c>
      <c r="F43" s="29">
        <f t="shared" si="2"/>
        <v>-3.7456128691852104</v>
      </c>
      <c r="H43" s="28">
        <f t="shared" si="3"/>
        <v>-3.0073894687441864</v>
      </c>
      <c r="I43" s="29"/>
      <c r="J43" s="36">
        <f>20-C43/'Cwl Opt1 Calcs'!$B$2*20</f>
        <v>2.3223213783819183</v>
      </c>
      <c r="K43" s="29"/>
    </row>
    <row r="44" spans="1:11" x14ac:dyDescent="0.2">
      <c r="A44" s="29">
        <v>0.9</v>
      </c>
      <c r="B44" s="42">
        <f t="shared" si="4"/>
        <v>0.36661438117870127</v>
      </c>
      <c r="C44" s="28">
        <f>A44*'CWD Opt1 Calcs'!$B$4-(-Inputs!$B$3-'Profile Calcs'!$P$33)</f>
        <v>118.43379190419012</v>
      </c>
      <c r="D44" s="29">
        <f t="shared" si="0"/>
        <v>2.602737125585401</v>
      </c>
      <c r="E44" s="42">
        <f t="shared" si="1"/>
        <v>-0.36661438117870127</v>
      </c>
      <c r="F44" s="29">
        <f t="shared" si="2"/>
        <v>-2.602737125585401</v>
      </c>
      <c r="H44" s="28">
        <f t="shared" si="3"/>
        <v>-3.41539751163549</v>
      </c>
      <c r="I44" s="29"/>
      <c r="J44" s="36">
        <f>20-C44/'Cwl Opt1 Calcs'!$B$2*20</f>
        <v>1.2743332781076191</v>
      </c>
      <c r="K44" s="29"/>
    </row>
    <row r="45" spans="1:11" x14ac:dyDescent="0.2">
      <c r="A45" s="29">
        <v>0.95</v>
      </c>
      <c r="B45" s="42">
        <f t="shared" si="4"/>
        <v>0.18815835402838221</v>
      </c>
      <c r="C45" s="28">
        <f>A45*'CWD Opt1 Calcs'!$B$4-(-Inputs!$B$3-'Profile Calcs'!$P$33)</f>
        <v>125.06197804192837</v>
      </c>
      <c r="D45" s="29">
        <f t="shared" si="0"/>
        <v>1.3358088461892634</v>
      </c>
      <c r="E45" s="42">
        <f t="shared" si="1"/>
        <v>-0.18815835402838221</v>
      </c>
      <c r="F45" s="29">
        <f t="shared" si="2"/>
        <v>-1.3358088461892634</v>
      </c>
      <c r="H45" s="28">
        <f t="shared" si="3"/>
        <v>-3.6970666138419261</v>
      </c>
      <c r="I45" s="29"/>
      <c r="J45" s="36">
        <f>20-C45/'Cwl Opt1 Calcs'!$B$2*20</f>
        <v>0.22634517783331987</v>
      </c>
      <c r="K45" s="29"/>
    </row>
    <row r="46" spans="1:11" x14ac:dyDescent="0.2">
      <c r="A46" s="29">
        <v>1</v>
      </c>
      <c r="B46" s="42">
        <f t="shared" si="4"/>
        <v>-1.4210854715202004E-14</v>
      </c>
      <c r="C46" s="28">
        <f>A46*'CWD Opt1 Calcs'!$B$4-(-Inputs!$B$3-'Profile Calcs'!$P$33)</f>
        <v>131.69016417966665</v>
      </c>
      <c r="D46" s="29">
        <f t="shared" si="0"/>
        <v>-1.008883476819414E-13</v>
      </c>
      <c r="E46" s="42">
        <f t="shared" si="1"/>
        <v>1.4210854715202004E-14</v>
      </c>
      <c r="F46" s="29">
        <f t="shared" si="2"/>
        <v>1.008883476819414E-13</v>
      </c>
      <c r="H46" s="28">
        <f t="shared" si="3"/>
        <v>-3.7929436810610824</v>
      </c>
      <c r="J46" s="36">
        <f>20-C46/'Cwl Opt1 Calcs'!$B$2*20</f>
        <v>-0.82164292244097936</v>
      </c>
      <c r="K46" s="29"/>
    </row>
    <row r="48" spans="1:11" x14ac:dyDescent="0.2">
      <c r="A48" s="28" t="s">
        <v>9</v>
      </c>
      <c r="C48" s="28">
        <f>ATAN((D45-D46)/(C45-C46))</f>
        <v>-0.19887070097415407</v>
      </c>
      <c r="D48" s="28">
        <f>DEGREES(C48)</f>
        <v>-11.394451834627258</v>
      </c>
    </row>
    <row r="49" spans="1:4" x14ac:dyDescent="0.2">
      <c r="A49" s="29"/>
      <c r="B49" s="42"/>
      <c r="D49" s="29"/>
    </row>
    <row r="50" spans="1:4" x14ac:dyDescent="0.2">
      <c r="A50" s="29"/>
      <c r="B50" s="42"/>
      <c r="D50" s="29"/>
    </row>
    <row r="51" spans="1:4" x14ac:dyDescent="0.2">
      <c r="A51" s="29"/>
      <c r="B51" s="42"/>
      <c r="D51" s="29"/>
    </row>
    <row r="52" spans="1:4" x14ac:dyDescent="0.2">
      <c r="A52" s="29"/>
      <c r="B52" s="42"/>
      <c r="D52" s="29"/>
    </row>
    <row r="53" spans="1:4" x14ac:dyDescent="0.2">
      <c r="A53" s="29"/>
      <c r="B53" s="42"/>
      <c r="D53" s="29"/>
    </row>
    <row r="54" spans="1:4" x14ac:dyDescent="0.2">
      <c r="A54" s="29"/>
      <c r="B54" s="42"/>
      <c r="D54" s="29"/>
    </row>
    <row r="55" spans="1:4" x14ac:dyDescent="0.2">
      <c r="A55" s="29"/>
      <c r="B55" s="42"/>
      <c r="D55" s="29"/>
    </row>
    <row r="56" spans="1:4" x14ac:dyDescent="0.2">
      <c r="A56" s="29"/>
      <c r="B56" s="42"/>
      <c r="D56" s="29"/>
    </row>
    <row r="57" spans="1:4" x14ac:dyDescent="0.2">
      <c r="A57" s="29"/>
      <c r="B57" s="42"/>
      <c r="D57" s="29"/>
    </row>
    <row r="58" spans="1:4" x14ac:dyDescent="0.2">
      <c r="A58" s="29"/>
      <c r="B58" s="42"/>
      <c r="D58" s="29"/>
    </row>
    <row r="59" spans="1:4" x14ac:dyDescent="0.2">
      <c r="A59" s="29"/>
      <c r="B59" s="42"/>
      <c r="D59" s="29"/>
    </row>
    <row r="60" spans="1:4" x14ac:dyDescent="0.2">
      <c r="A60" s="29"/>
      <c r="B60" s="42"/>
      <c r="D60" s="29"/>
    </row>
    <row r="61" spans="1:4" x14ac:dyDescent="0.2">
      <c r="A61" s="29"/>
      <c r="B61" s="42"/>
      <c r="D61" s="29"/>
    </row>
    <row r="62" spans="1:4" x14ac:dyDescent="0.2">
      <c r="A62" s="29"/>
      <c r="B62" s="42"/>
      <c r="D62" s="29"/>
    </row>
    <row r="63" spans="1:4" x14ac:dyDescent="0.2">
      <c r="A63" s="29"/>
      <c r="B63" s="42"/>
      <c r="D63" s="29"/>
    </row>
    <row r="64" spans="1:4" x14ac:dyDescent="0.2">
      <c r="A64" s="29"/>
      <c r="B64" s="42"/>
      <c r="D64" s="29"/>
    </row>
    <row r="65" spans="1:4" x14ac:dyDescent="0.2">
      <c r="A65" s="29"/>
      <c r="B65" s="42"/>
      <c r="D65" s="29"/>
    </row>
    <row r="66" spans="1:4" x14ac:dyDescent="0.2">
      <c r="A66" s="29"/>
      <c r="B66" s="42"/>
      <c r="D66" s="29"/>
    </row>
    <row r="67" spans="1:4" x14ac:dyDescent="0.2">
      <c r="A67" s="29"/>
      <c r="B67" s="42"/>
      <c r="D67" s="29"/>
    </row>
    <row r="68" spans="1:4" x14ac:dyDescent="0.2">
      <c r="A68" s="29"/>
      <c r="B68" s="42"/>
      <c r="D68" s="29"/>
    </row>
    <row r="69" spans="1:4" x14ac:dyDescent="0.2">
      <c r="A69" s="29"/>
      <c r="B69" s="42"/>
      <c r="D69" s="29"/>
    </row>
    <row r="70" spans="1:4" x14ac:dyDescent="0.2">
      <c r="A70" s="29"/>
      <c r="B70" s="29"/>
    </row>
    <row r="71" spans="1:4" x14ac:dyDescent="0.2">
      <c r="A71" s="29"/>
      <c r="B71" s="29"/>
    </row>
    <row r="72" spans="1:4" x14ac:dyDescent="0.2">
      <c r="A72" s="29"/>
      <c r="B72" s="29"/>
    </row>
    <row r="73" spans="1:4" x14ac:dyDescent="0.2">
      <c r="A73" s="29"/>
      <c r="B73" s="29"/>
    </row>
    <row r="74" spans="1:4" x14ac:dyDescent="0.2">
      <c r="A74" s="29"/>
      <c r="B74" s="29"/>
    </row>
    <row r="75" spans="1:4" x14ac:dyDescent="0.2">
      <c r="A75" s="29"/>
      <c r="B75" s="29"/>
    </row>
    <row r="76" spans="1:4" x14ac:dyDescent="0.2">
      <c r="A76" s="29"/>
      <c r="B76" s="29"/>
    </row>
    <row r="77" spans="1:4" x14ac:dyDescent="0.2">
      <c r="A77" s="29"/>
      <c r="B77" s="29"/>
    </row>
    <row r="78" spans="1:4" x14ac:dyDescent="0.2">
      <c r="A78" s="29"/>
      <c r="B78" s="29"/>
    </row>
    <row r="79" spans="1:4" x14ac:dyDescent="0.2">
      <c r="A79" s="29"/>
      <c r="B79" s="29"/>
    </row>
  </sheetData>
  <phoneticPr fontId="12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1" x14ac:dyDescent="0.25">
      <c r="A1" t="s">
        <v>126</v>
      </c>
    </row>
    <row r="2" spans="1:11" x14ac:dyDescent="0.25">
      <c r="A2" t="s">
        <v>138</v>
      </c>
      <c r="B2">
        <f>-IF(CWD!P46="",CWD!P44,CWD!P46)</f>
        <v>-15</v>
      </c>
      <c r="D2" t="s">
        <v>145</v>
      </c>
      <c r="E2">
        <f>CWD!D42/COS(B2*PI()/180)</f>
        <v>130.95574703431615</v>
      </c>
      <c r="G2" t="s">
        <v>26</v>
      </c>
      <c r="H2">
        <f>CWD!D42</f>
        <v>126.49353816142404</v>
      </c>
      <c r="J2" t="s">
        <v>146</v>
      </c>
      <c r="K2">
        <v>1</v>
      </c>
    </row>
    <row r="3" spans="1:11" x14ac:dyDescent="0.25">
      <c r="G3" t="s">
        <v>20</v>
      </c>
      <c r="H3">
        <f>E2*SIN(-B2*PI()/180)</f>
        <v>33.893841398108968</v>
      </c>
      <c r="J3" t="s">
        <v>147</v>
      </c>
      <c r="K3">
        <f>H3/CWD!F42</f>
        <v>4.7741931245330615</v>
      </c>
    </row>
    <row r="4" spans="1:11" x14ac:dyDescent="0.25">
      <c r="B4" s="14"/>
      <c r="H4" s="16"/>
    </row>
    <row r="5" spans="1:11" x14ac:dyDescent="0.25">
      <c r="H5" s="16" t="s">
        <v>127</v>
      </c>
    </row>
    <row r="6" spans="1:11" x14ac:dyDescent="0.25">
      <c r="A6" s="56">
        <v>1</v>
      </c>
      <c r="B6" s="56">
        <v>1</v>
      </c>
      <c r="C6" s="56">
        <v>1</v>
      </c>
      <c r="D6" s="56">
        <v>1</v>
      </c>
      <c r="E6" s="56">
        <v>1</v>
      </c>
      <c r="F6" s="58">
        <v>1</v>
      </c>
      <c r="G6" s="16" t="s">
        <v>137</v>
      </c>
      <c r="H6" s="28">
        <f>MMULT(A13:F13,J6:J11)</f>
        <v>3.7264197130042964</v>
      </c>
      <c r="I6" s="28"/>
      <c r="J6" s="28">
        <f>-CWD!$J$44</f>
        <v>-0.6</v>
      </c>
    </row>
    <row r="7" spans="1:11" x14ac:dyDescent="0.25">
      <c r="A7" s="56">
        <f>1/2</f>
        <v>0.5</v>
      </c>
      <c r="B7" s="56">
        <f>1/4</f>
        <v>0.25</v>
      </c>
      <c r="C7" s="56">
        <f>1/8</f>
        <v>0.125</v>
      </c>
      <c r="D7" s="42">
        <f>1/16</f>
        <v>6.25E-2</v>
      </c>
      <c r="E7" s="42">
        <f>1/32</f>
        <v>3.125E-2</v>
      </c>
      <c r="F7" s="20">
        <f>1/64</f>
        <v>1.5625E-2</v>
      </c>
      <c r="G7" s="16" t="s">
        <v>129</v>
      </c>
      <c r="H7" s="28">
        <f>MMULT(A14:F14,J6:J11)</f>
        <v>-22.253071257800762</v>
      </c>
      <c r="I7" s="28"/>
      <c r="J7" s="28">
        <f>1-CWD!J44</f>
        <v>0.4</v>
      </c>
    </row>
    <row r="8" spans="1:11" x14ac:dyDescent="0.25">
      <c r="A8" s="56">
        <v>1</v>
      </c>
      <c r="B8" s="56">
        <v>1</v>
      </c>
      <c r="C8" s="56">
        <f>3/4</f>
        <v>0.75</v>
      </c>
      <c r="D8" s="56">
        <f>1/2</f>
        <v>0.5</v>
      </c>
      <c r="E8" s="56">
        <f>5/16</f>
        <v>0.3125</v>
      </c>
      <c r="F8">
        <f>3/16</f>
        <v>0.1875</v>
      </c>
      <c r="G8" s="16" t="s">
        <v>130</v>
      </c>
      <c r="H8" s="28">
        <f>MMULT(A15:F15,J6:J11)</f>
        <v>73.384967272228494</v>
      </c>
      <c r="I8" s="28"/>
      <c r="J8" s="28">
        <v>0</v>
      </c>
    </row>
    <row r="9" spans="1:11" x14ac:dyDescent="0.25">
      <c r="A9" s="56">
        <f>1/2</f>
        <v>0.5</v>
      </c>
      <c r="B9" s="30">
        <f>1/3</f>
        <v>0.33333333333333331</v>
      </c>
      <c r="C9" s="56">
        <f>1/4</f>
        <v>0.25</v>
      </c>
      <c r="D9" s="56">
        <f>1/5</f>
        <v>0.2</v>
      </c>
      <c r="E9" s="30">
        <f>1/6</f>
        <v>0.16666666666666666</v>
      </c>
      <c r="F9" s="14">
        <f>1/7</f>
        <v>0.14285714285714285</v>
      </c>
      <c r="G9" s="16" t="s">
        <v>131</v>
      </c>
      <c r="H9" s="28">
        <f>MMULT(A16:F16,J6:J11)</f>
        <v>-120.61719091575844</v>
      </c>
      <c r="I9" s="28"/>
      <c r="J9" s="28">
        <f>CWD!N44-CWD!J44</f>
        <v>0.18230189917656681</v>
      </c>
    </row>
    <row r="10" spans="1:11" x14ac:dyDescent="0.25">
      <c r="A10" s="30">
        <f>1/3</f>
        <v>0.33333333333333331</v>
      </c>
      <c r="B10" s="56">
        <f>1/4</f>
        <v>0.25</v>
      </c>
      <c r="C10" s="56">
        <f>1/5</f>
        <v>0.2</v>
      </c>
      <c r="D10" s="30">
        <f>1/6</f>
        <v>0.16666666666666666</v>
      </c>
      <c r="E10" s="30">
        <f>1/7</f>
        <v>0.14285714285714285</v>
      </c>
      <c r="F10" s="14">
        <f>1/8</f>
        <v>0.125</v>
      </c>
      <c r="G10" s="16" t="s">
        <v>132</v>
      </c>
      <c r="H10" s="28">
        <f>MMULT(A17:F17,J6:J11)</f>
        <v>92.633859605545979</v>
      </c>
      <c r="I10" s="28"/>
      <c r="J10" s="28">
        <f>(0.5-CWD!L44/100)*CWD!N44-0.5*CWD!J44</f>
        <v>5.2035854629455092E-2</v>
      </c>
    </row>
    <row r="11" spans="1:11" x14ac:dyDescent="0.25">
      <c r="A11" s="56">
        <v>1</v>
      </c>
      <c r="B11" s="56">
        <v>2</v>
      </c>
      <c r="C11" s="56">
        <v>3</v>
      </c>
      <c r="D11" s="56">
        <v>4</v>
      </c>
      <c r="E11" s="56">
        <v>5</v>
      </c>
      <c r="F11" s="56">
        <v>6</v>
      </c>
      <c r="G11" s="16" t="s">
        <v>133</v>
      </c>
      <c r="H11" s="28">
        <f>MMULT(A18:F18,J6:J11)</f>
        <v>-27.47498441721936</v>
      </c>
      <c r="I11" s="28"/>
      <c r="J11" s="20">
        <f>-K3</f>
        <v>-4.7741931245330615</v>
      </c>
    </row>
    <row r="12" spans="1:11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11" x14ac:dyDescent="0.25">
      <c r="A13" s="28">
        <f t="array" ref="A13:F18">MINVERSE(A6:F11)</f>
        <v>20.000000000001933</v>
      </c>
      <c r="B13" s="28">
        <v>1.7621459846850485E-12</v>
      </c>
      <c r="C13" s="28">
        <v>5.3333333333336128</v>
      </c>
      <c r="D13" s="28">
        <v>140.00000000000159</v>
      </c>
      <c r="E13" s="28">
        <v>-280.00000000001637</v>
      </c>
      <c r="F13" s="28">
        <v>-1.0000000000000675</v>
      </c>
      <c r="G13" s="28"/>
      <c r="H13" s="28"/>
      <c r="I13" s="28"/>
    </row>
    <row r="14" spans="1:11" x14ac:dyDescent="0.25">
      <c r="A14" s="28">
        <v>-232.00000000002137</v>
      </c>
      <c r="B14" s="28">
        <v>-96.000000000019554</v>
      </c>
      <c r="C14" s="28">
        <v>-58.666666666670153</v>
      </c>
      <c r="D14" s="28">
        <v>-1120.0000000000446</v>
      </c>
      <c r="E14" s="28">
        <v>2660.0000000001746</v>
      </c>
      <c r="F14" s="28">
        <v>12.000000000001194</v>
      </c>
      <c r="G14" s="28"/>
      <c r="H14" s="28"/>
      <c r="I14" s="28"/>
    </row>
    <row r="15" spans="1:11" x14ac:dyDescent="0.25">
      <c r="A15" s="28">
        <v>940.00000000008708</v>
      </c>
      <c r="B15" s="28">
        <v>640.00000000007685</v>
      </c>
      <c r="C15" s="28">
        <v>213.33333333334866</v>
      </c>
      <c r="D15" s="28">
        <v>3500.0000000002219</v>
      </c>
      <c r="E15" s="28">
        <v>-9520.0000000007458</v>
      </c>
      <c r="F15" s="28">
        <v>-50.000000000004988</v>
      </c>
      <c r="G15" s="28"/>
      <c r="H15" s="28"/>
      <c r="I15" s="28"/>
    </row>
    <row r="16" spans="1:11" x14ac:dyDescent="0.25">
      <c r="A16" s="28">
        <v>-1735.000000000161</v>
      </c>
      <c r="B16" s="28">
        <v>-1440.0000000001382</v>
      </c>
      <c r="C16" s="28">
        <v>-346.6666666666963</v>
      </c>
      <c r="D16" s="28">
        <v>-5320.0000000004438</v>
      </c>
      <c r="E16" s="28">
        <v>16100.000000001422</v>
      </c>
      <c r="F16" s="28">
        <v>95.000000000009123</v>
      </c>
      <c r="G16" s="28"/>
      <c r="H16" s="28"/>
      <c r="I16" s="28"/>
    </row>
    <row r="17" spans="1:10" x14ac:dyDescent="0.25">
      <c r="A17" s="28">
        <v>1484.0000000001367</v>
      </c>
      <c r="B17" s="28">
        <v>1344.0000000001153</v>
      </c>
      <c r="C17" s="28">
        <v>261.33333333335918</v>
      </c>
      <c r="D17" s="28">
        <v>3920.000000000392</v>
      </c>
      <c r="E17" s="28">
        <v>-12880.000000001228</v>
      </c>
      <c r="F17" s="28">
        <v>-84.000000000007688</v>
      </c>
      <c r="G17" s="28"/>
      <c r="H17" s="28"/>
      <c r="I17" s="28"/>
    </row>
    <row r="18" spans="1:10" x14ac:dyDescent="0.25">
      <c r="A18" s="28">
        <v>-476.00000000004331</v>
      </c>
      <c r="B18" s="28">
        <v>-448.0000000000361</v>
      </c>
      <c r="C18" s="28">
        <v>-74.666666666674999</v>
      </c>
      <c r="D18" s="28">
        <v>-1120.0000000001271</v>
      </c>
      <c r="E18" s="28">
        <v>3920.0000000003929</v>
      </c>
      <c r="F18" s="28">
        <v>28.000000000002427</v>
      </c>
      <c r="G18" s="28"/>
      <c r="H18" s="28"/>
      <c r="I18" s="28"/>
    </row>
    <row r="19" spans="1:10" x14ac:dyDescent="0.25">
      <c r="A19" s="28"/>
      <c r="B19" s="28"/>
      <c r="C19" s="28"/>
      <c r="D19" s="28"/>
      <c r="E19" s="28"/>
      <c r="F19" s="28"/>
      <c r="G19" s="28"/>
      <c r="H19" s="28"/>
      <c r="I19" s="28"/>
    </row>
    <row r="20" spans="1:10" x14ac:dyDescent="0.25">
      <c r="A20" s="28" t="s">
        <v>115</v>
      </c>
      <c r="B20" s="28" t="s">
        <v>118</v>
      </c>
      <c r="C20" s="28" t="s">
        <v>114</v>
      </c>
      <c r="D20" s="55" t="s">
        <v>140</v>
      </c>
      <c r="E20" s="38"/>
      <c r="F20" s="60" t="s">
        <v>136</v>
      </c>
      <c r="G20" s="38"/>
      <c r="H20" s="38"/>
      <c r="I20" s="38"/>
    </row>
    <row r="21" spans="1:10" x14ac:dyDescent="0.25">
      <c r="A21" s="29">
        <v>0</v>
      </c>
      <c r="B21" s="42">
        <f>CWD!$J$44+$H$6*A21+$H$7*A21^2+$H$8*A21^3+$H$9*A21^4+$H$10*A21^5+$H$11*A21^6</f>
        <v>0.6</v>
      </c>
      <c r="C21" s="28">
        <f>A21*'CWD Opt1 Calcs'!$B$4-(-Inputs!$B$3-'Profile Calcs'!$P$33)</f>
        <v>-0.87355857509876955</v>
      </c>
      <c r="D21" s="29">
        <f>B21*'CWD Opt1 Calcs'!$B$6/2</f>
        <v>4.2596317971226529</v>
      </c>
      <c r="E21" s="36">
        <f>-D21</f>
        <v>-4.2596317971226529</v>
      </c>
      <c r="F21" s="36">
        <f>$H$6+$H$7*A21+$H$8*A21^2+$H$9*A21^3+$H$10*A21^4+$H$11*A21^5</f>
        <v>3.7264197130042964</v>
      </c>
      <c r="G21" s="36"/>
      <c r="H21" s="36">
        <f>20-C21/'Cwl Opt1 Calcs'!$B$2*20</f>
        <v>20.138119083045016</v>
      </c>
      <c r="I21" s="39"/>
      <c r="J21" s="14">
        <f>H21/20</f>
        <v>1.0069059541522507</v>
      </c>
    </row>
    <row r="22" spans="1:10" x14ac:dyDescent="0.25">
      <c r="A22" s="29">
        <v>0.05</v>
      </c>
      <c r="B22" s="42">
        <f>CWD!$J$44+$H$6*A22+$H$7*A22^2+$H$8*A22^3+$H$9*A22^4+$H$10*A22^5+$H$11*A22^6</f>
        <v>0.73913608975601319</v>
      </c>
      <c r="C22" s="28">
        <f>A22*'CWD Opt1 Calcs'!$B$4-(-Inputs!$B$3-'Profile Calcs'!$P$33)</f>
        <v>5.7546275626395023</v>
      </c>
      <c r="D22" s="29">
        <f>B22*'CWD Opt1 Calcs'!$B$6/2</f>
        <v>5.247412650542695</v>
      </c>
      <c r="E22" s="36">
        <f t="shared" ref="E22:E41" si="0">-D22</f>
        <v>-5.247412650542695</v>
      </c>
      <c r="F22" s="36">
        <f t="shared" ref="F22:F41" si="1">$H$6+$H$7*A22+$H$8*A22^2+$H$9*A22^3+$H$10*A22^4+$H$11*A22^5</f>
        <v>2.7827217951202634</v>
      </c>
      <c r="G22" s="36"/>
      <c r="H22" s="36">
        <f>20-C22/'Cwl Opt1 Calcs'!$B$2*20</f>
        <v>19.090130982770713</v>
      </c>
      <c r="I22" s="39"/>
      <c r="J22" s="14">
        <f t="shared" ref="J22:J41" si="2">H22/20</f>
        <v>0.95450654913853561</v>
      </c>
    </row>
    <row r="23" spans="1:10" x14ac:dyDescent="0.25">
      <c r="A23" s="29">
        <v>0.1</v>
      </c>
      <c r="B23" s="42">
        <f>CWD!$J$44+$H$6*A23+$H$7*A23^2+$H$8*A23^3+$H$9*A23^4+$H$10*A23^5+$H$11*A23^6</f>
        <v>0.81233337051471288</v>
      </c>
      <c r="C23" s="28">
        <f>A23*'CWD Opt1 Calcs'!$B$4-(-Inputs!$B$3-'Profile Calcs'!$P$33)</f>
        <v>12.382813700377774</v>
      </c>
      <c r="D23" s="29">
        <f>B23*'CWD Opt1 Calcs'!$B$6/2</f>
        <v>5.7670684248471478</v>
      </c>
      <c r="E23" s="36">
        <f t="shared" si="0"/>
        <v>-5.7670684248471478</v>
      </c>
      <c r="F23" s="36">
        <f t="shared" si="1"/>
        <v>2.1233337051471288</v>
      </c>
      <c r="G23" s="36"/>
      <c r="H23" s="36">
        <f>20-C23/'Cwl Opt1 Calcs'!$B$2*20</f>
        <v>18.042142882496414</v>
      </c>
      <c r="I23" s="39"/>
      <c r="J23" s="14">
        <f t="shared" si="2"/>
        <v>0.90210714412482074</v>
      </c>
    </row>
    <row r="24" spans="1:10" x14ac:dyDescent="0.25">
      <c r="A24" s="29">
        <v>0.15</v>
      </c>
      <c r="B24" s="42">
        <f>CWD!$J$44+$H$6*A24+$H$7*A24^2+$H$8*A24^3+$H$9*A24^4+$H$10*A24^5+$H$11*A24^6</f>
        <v>0.85160209176221446</v>
      </c>
      <c r="C24" s="28">
        <f>A24*'CWD Opt1 Calcs'!$B$4-(-Inputs!$B$3-'Profile Calcs'!$P$33)</f>
        <v>19.010999838116042</v>
      </c>
      <c r="D24" s="29">
        <f>B24*'CWD Opt1 Calcs'!$B$6/2</f>
        <v>6.0458522476108199</v>
      </c>
      <c r="E24" s="36">
        <f t="shared" si="0"/>
        <v>-6.0458522476108199</v>
      </c>
      <c r="F24" s="36">
        <f t="shared" si="1"/>
        <v>1.6773472784147638</v>
      </c>
      <c r="G24" s="36"/>
      <c r="H24" s="36">
        <f>20-C24/'Cwl Opt1 Calcs'!$B$2*20</f>
        <v>16.994154782222115</v>
      </c>
      <c r="I24" s="39"/>
      <c r="J24" s="14">
        <f t="shared" si="2"/>
        <v>0.84970773911110575</v>
      </c>
    </row>
    <row r="25" spans="1:10" x14ac:dyDescent="0.25">
      <c r="A25" s="29">
        <v>0.2</v>
      </c>
      <c r="B25" s="42">
        <f>CWD!$J$44+$H$6*A25+$H$7*A25^2+$H$8*A25^3+$H$9*A25^4+$H$10*A25^5+$H$11*A25^6</f>
        <v>0.87713776107251595</v>
      </c>
      <c r="C25" s="28">
        <f>A25*'CWD Opt1 Calcs'!$B$4-(-Inputs!$B$3-'Profile Calcs'!$P$33)</f>
        <v>25.639185975854318</v>
      </c>
      <c r="D25" s="29">
        <f>B25*'CWD Opt1 Calcs'!$B$6/2</f>
        <v>6.2271398292024358</v>
      </c>
      <c r="E25" s="36">
        <f t="shared" si="0"/>
        <v>-6.2271398292024358</v>
      </c>
      <c r="F25" s="36">
        <f t="shared" si="1"/>
        <v>1.3856888053625795</v>
      </c>
      <c r="G25" s="36"/>
      <c r="H25" s="36">
        <f>20-C25/'Cwl Opt1 Calcs'!$B$2*20</f>
        <v>15.946166681947815</v>
      </c>
      <c r="I25" s="39"/>
      <c r="J25" s="14">
        <f t="shared" si="2"/>
        <v>0.79730833409739077</v>
      </c>
    </row>
    <row r="26" spans="1:10" x14ac:dyDescent="0.25">
      <c r="A26" s="29">
        <v>0.25</v>
      </c>
      <c r="B26" s="42">
        <f>CWD!$J$44+$H$6*A26+$H$7*A26^2+$H$8*A26^3+$H$9*A26^4+$H$10*A26^5+$H$11*A26^6</f>
        <v>0.90002217990597089</v>
      </c>
      <c r="C26" s="28">
        <f>A26*'CWD Opt1 Calcs'!$B$4-(-Inputs!$B$3-'Profile Calcs'!$P$33)</f>
        <v>32.267372113592586</v>
      </c>
      <c r="D26" s="29">
        <f>B26*'CWD Opt1 Calcs'!$B$6/2</f>
        <v>6.3896051594051979</v>
      </c>
      <c r="E26" s="36">
        <f t="shared" si="0"/>
        <v>-6.3896051594051979</v>
      </c>
      <c r="F26" s="36">
        <f t="shared" si="1"/>
        <v>1.2000887196238843</v>
      </c>
      <c r="G26" s="36"/>
      <c r="H26" s="36">
        <f>20-C26/'Cwl Opt1 Calcs'!$B$2*20</f>
        <v>14.898178581673516</v>
      </c>
      <c r="I26" s="39"/>
      <c r="J26" s="14">
        <f t="shared" si="2"/>
        <v>0.74490892908367579</v>
      </c>
    </row>
    <row r="27" spans="1:10" x14ac:dyDescent="0.25">
      <c r="A27" s="29">
        <v>0.3</v>
      </c>
      <c r="B27" s="42">
        <f>CWD!$J$44+$H$6*A27+$H$7*A27^2+$H$8*A27^3+$H$9*A27^4+$H$10*A27^5+$H$11*A27^6</f>
        <v>0.92461538583307035</v>
      </c>
      <c r="C27" s="28">
        <f>A27*'CWD Opt1 Calcs'!$B$4-(-Inputs!$B$3-'Profile Calcs'!$P$33)</f>
        <v>38.895558251330854</v>
      </c>
      <c r="D27" s="29">
        <f>B27*'CWD Opt1 Calcs'!$B$6/2</f>
        <v>6.5642018293389617</v>
      </c>
      <c r="E27" s="36">
        <f t="shared" si="0"/>
        <v>-6.5642018293389617</v>
      </c>
      <c r="F27" s="36">
        <f t="shared" si="1"/>
        <v>1.0820512861102336</v>
      </c>
      <c r="G27" s="36"/>
      <c r="H27" s="36">
        <f>20-C27/'Cwl Opt1 Calcs'!$B$2*20</f>
        <v>13.850190481399217</v>
      </c>
      <c r="I27" s="39"/>
      <c r="J27" s="14">
        <f t="shared" si="2"/>
        <v>0.6925095240699608</v>
      </c>
    </row>
    <row r="28" spans="1:10" x14ac:dyDescent="0.25">
      <c r="A28" s="29">
        <v>0.35</v>
      </c>
      <c r="B28" s="42">
        <f>CWD!$J$44+$H$6*A28+$H$7*A28^2+$H$8*A28^3+$H$9*A28^4+$H$10*A28^5+$H$11*A28^6</f>
        <v>0.95063850118352555</v>
      </c>
      <c r="C28" s="28">
        <f>A28*'CWD Opt1 Calcs'!$B$4-(-Inputs!$B$3-'Profile Calcs'!$P$33)</f>
        <v>45.523744389069122</v>
      </c>
      <c r="D28" s="29">
        <f>B28*'CWD Opt1 Calcs'!$B$6/2</f>
        <v>6.7489499786839442</v>
      </c>
      <c r="E28" s="36">
        <f t="shared" si="0"/>
        <v>-6.7489499786839442</v>
      </c>
      <c r="F28" s="36">
        <f t="shared" si="1"/>
        <v>1.0018242890957858</v>
      </c>
      <c r="G28" s="36"/>
      <c r="H28" s="36">
        <f>20-C28/'Cwl Opt1 Calcs'!$B$2*20</f>
        <v>12.802202381124916</v>
      </c>
      <c r="I28" s="39"/>
      <c r="J28" s="14">
        <f t="shared" si="2"/>
        <v>0.64011011905624582</v>
      </c>
    </row>
    <row r="29" spans="1:10" x14ac:dyDescent="0.25">
      <c r="A29" s="29">
        <v>0.4</v>
      </c>
      <c r="B29" s="42">
        <f>CWD!$J$44+$H$6*A29+$H$7*A29^2+$H$8*A29^3+$H$9*A29^4+$H$10*A29^5+$H$11*A29^6</f>
        <v>0.97494748812066412</v>
      </c>
      <c r="C29" s="28">
        <f>A29*'CWD Opt1 Calcs'!$B$4-(-Inputs!$B$3-'Profile Calcs'!$P$33)</f>
        <v>52.151930526807405</v>
      </c>
      <c r="D29" s="29">
        <f>B29*'CWD Opt1 Calcs'!$B$6/2</f>
        <v>6.9215288682060683</v>
      </c>
      <c r="E29" s="36">
        <f t="shared" si="0"/>
        <v>-6.9215288682060683</v>
      </c>
      <c r="F29" s="36">
        <f t="shared" si="1"/>
        <v>0.9373687203016613</v>
      </c>
      <c r="G29" s="36"/>
      <c r="H29" s="36">
        <f>20-C29/'Cwl Opt1 Calcs'!$B$2*20</f>
        <v>11.754214280850615</v>
      </c>
      <c r="I29" s="39"/>
      <c r="J29" s="14">
        <f t="shared" si="2"/>
        <v>0.58771071404253072</v>
      </c>
    </row>
    <row r="30" spans="1:10" x14ac:dyDescent="0.25">
      <c r="A30" s="29">
        <v>0.45</v>
      </c>
      <c r="B30" s="42">
        <f>CWD!$J$44+$H$6*A30+$H$7*A30^2+$H$8*A30^3+$H$9*A30^4+$H$10*A30^5+$H$11*A30^6</f>
        <v>0.99299781014112853</v>
      </c>
      <c r="C30" s="28">
        <f>A30*'CWD Opt1 Calcs'!$B$4-(-Inputs!$B$3-'Profile Calcs'!$P$33)</f>
        <v>58.780116664545673</v>
      </c>
      <c r="D30" s="29">
        <f>B30*'CWD Opt1 Calcs'!$B$6/2</f>
        <v>7.0496750775838573</v>
      </c>
      <c r="E30" s="36">
        <f t="shared" si="0"/>
        <v>-7.0496750775838573</v>
      </c>
      <c r="F30" s="36">
        <f t="shared" si="1"/>
        <v>0.87332846698028654</v>
      </c>
      <c r="G30" s="36"/>
      <c r="H30" s="36">
        <f>20-C30/'Cwl Opt1 Calcs'!$B$2*20</f>
        <v>10.706226180576316</v>
      </c>
      <c r="I30" s="39"/>
      <c r="J30" s="14">
        <f t="shared" si="2"/>
        <v>0.53531130902881574</v>
      </c>
    </row>
    <row r="31" spans="1:10" x14ac:dyDescent="0.25">
      <c r="A31" s="29">
        <v>0.5</v>
      </c>
      <c r="B31" s="42">
        <f>CWD!$J$44+$H$6*A31+$H$7*A31^2+$H$8*A31^3+$H$9*A31^4+$H$10*A31^5+$H$11*A31^6</f>
        <v>0.9999999999998761</v>
      </c>
      <c r="C31" s="28">
        <f>A31*'CWD Opt1 Calcs'!$B$4-(-Inputs!$B$3-'Profile Calcs'!$P$33)</f>
        <v>65.408302802283941</v>
      </c>
      <c r="D31" s="29">
        <f>B31*'CWD Opt1 Calcs'!$B$6/2</f>
        <v>7.0993863285368759</v>
      </c>
      <c r="E31" s="36">
        <f t="shared" si="0"/>
        <v>-7.0993863285368759</v>
      </c>
      <c r="F31" s="36">
        <f t="shared" si="1"/>
        <v>0.79999999999975291</v>
      </c>
      <c r="G31" s="36"/>
      <c r="H31" s="36">
        <f>20-C31/'Cwl Opt1 Calcs'!$B$2*20</f>
        <v>9.6582380803020165</v>
      </c>
      <c r="I31" s="39"/>
      <c r="J31" s="14">
        <f t="shared" si="2"/>
        <v>0.48291190401510081</v>
      </c>
    </row>
    <row r="32" spans="1:10" x14ac:dyDescent="0.25">
      <c r="A32" s="29">
        <v>0.55000000000000004</v>
      </c>
      <c r="B32" s="42">
        <f>CWD!$J$44+$H$6*A32+$H$7*A32^2+$H$8*A32^3+$H$9*A32^4+$H$10*A32^5+$H$11*A32^6</f>
        <v>0.99176613406050029</v>
      </c>
      <c r="C32" s="28">
        <f>A32*'CWD Opt1 Calcs'!$B$4-(-Inputs!$B$3-'Profile Calcs'!$P$33)</f>
        <v>72.036488940022224</v>
      </c>
      <c r="D32" s="29">
        <f>B32*'CWD Opt1 Calcs'!$B$6/2</f>
        <v>7.0409309332558587</v>
      </c>
      <c r="E32" s="36">
        <f t="shared" si="0"/>
        <v>-7.0409309332558587</v>
      </c>
      <c r="F32" s="36">
        <f t="shared" si="1"/>
        <v>0.7123020619281768</v>
      </c>
      <c r="G32" s="36"/>
      <c r="H32" s="36">
        <f>20-C32/'Cwl Opt1 Calcs'!$B$2*20</f>
        <v>8.6102499800277155</v>
      </c>
      <c r="I32" s="39"/>
      <c r="J32" s="14">
        <f t="shared" si="2"/>
        <v>0.43051249900138577</v>
      </c>
    </row>
    <row r="33" spans="1:10" x14ac:dyDescent="0.25">
      <c r="A33" s="29">
        <v>0.6</v>
      </c>
      <c r="B33" s="42">
        <f>CWD!$J$44+$H$6*A33+$H$7*A33^2+$H$8*A33^3+$H$9*A33^4+$H$10*A33^5+$H$11*A33^6</f>
        <v>0.96524721307083428</v>
      </c>
      <c r="C33" s="28">
        <f>A33*'CWD Opt1 Calcs'!$B$4-(-Inputs!$B$3-'Profile Calcs'!$P$33)</f>
        <v>78.664675077760478</v>
      </c>
      <c r="D33" s="29">
        <f>B33*'CWD Opt1 Calcs'!$B$6/2</f>
        <v>6.8526628681342503</v>
      </c>
      <c r="E33" s="36">
        <f t="shared" si="0"/>
        <v>-6.8526628681342503</v>
      </c>
      <c r="F33" s="36">
        <f t="shared" si="1"/>
        <v>0.60874535511805306</v>
      </c>
      <c r="G33" s="36"/>
      <c r="H33" s="36">
        <f>20-C33/'Cwl Opt1 Calcs'!$B$2*20</f>
        <v>7.562261879753418</v>
      </c>
      <c r="I33" s="39"/>
      <c r="J33" s="14">
        <f t="shared" si="2"/>
        <v>0.3781130939876709</v>
      </c>
    </row>
    <row r="34" spans="1:10" x14ac:dyDescent="0.25">
      <c r="A34" s="29">
        <v>0.65</v>
      </c>
      <c r="B34" s="42">
        <f>CWD!$J$44+$H$6*A34+$H$7*A34^2+$H$8*A34^3+$H$9*A34^4+$H$10*A34^5+$H$11*A34^6</f>
        <v>0.91876144936388959</v>
      </c>
      <c r="C34" s="28">
        <f>A34*'CWD Opt1 Calcs'!$B$4-(-Inputs!$B$3-'Profile Calcs'!$P$33)</f>
        <v>85.29286121549876</v>
      </c>
      <c r="D34" s="29">
        <f>B34*'CWD Opt1 Calcs'!$B$6/2</f>
        <v>6.5226424728015306</v>
      </c>
      <c r="E34" s="36">
        <f t="shared" si="0"/>
        <v>-6.5226424728015306</v>
      </c>
      <c r="F34" s="36">
        <f t="shared" si="1"/>
        <v>0.49040222979059145</v>
      </c>
      <c r="G34" s="36"/>
      <c r="H34" s="36">
        <f>20-C34/'Cwl Opt1 Calcs'!$B$2*20</f>
        <v>6.5142737794791152</v>
      </c>
      <c r="I34" s="39"/>
      <c r="J34" s="14">
        <f t="shared" si="2"/>
        <v>0.32571368897395575</v>
      </c>
    </row>
    <row r="35" spans="1:10" x14ac:dyDescent="0.25">
      <c r="A35" s="29">
        <v>0.7</v>
      </c>
      <c r="B35" s="42">
        <f>CWD!$J$44+$H$6*A35+$H$7*A35^2+$H$8*A35^3+$H$9*A35^4+$H$10*A35^5+$H$11*A35^6</f>
        <v>0.85191346048407679</v>
      </c>
      <c r="C35" s="28">
        <f>A35*'CWD Opt1 Calcs'!$B$4-(-Inputs!$B$3-'Profile Calcs'!$P$33)</f>
        <v>91.921047353237014</v>
      </c>
      <c r="D35" s="29">
        <f>B35*'CWD Opt1 Calcs'!$B$6/2</f>
        <v>6.0480627744579438</v>
      </c>
      <c r="E35" s="36">
        <f t="shared" si="0"/>
        <v>-6.0480627744579438</v>
      </c>
      <c r="F35" s="36">
        <f t="shared" si="1"/>
        <v>0.35987637212010704</v>
      </c>
      <c r="G35" s="36"/>
      <c r="H35" s="36">
        <f>20-C35/'Cwl Opt1 Calcs'!$B$2*20</f>
        <v>5.4662856792048196</v>
      </c>
      <c r="I35" s="39"/>
      <c r="J35" s="14">
        <f t="shared" si="2"/>
        <v>0.27331428396024099</v>
      </c>
    </row>
    <row r="36" spans="1:10" x14ac:dyDescent="0.25">
      <c r="A36" s="29">
        <v>0.75</v>
      </c>
      <c r="B36" s="42">
        <f>CWD!$J$44+$H$6*A36+$H$7*A36^2+$H$8*A36^3+$H$9*A36^4+$H$10*A36^5+$H$11*A36^6</f>
        <v>0.76520436923874602</v>
      </c>
      <c r="C36" s="28">
        <f>A36*'CWD Opt1 Calcs'!$B$4-(-Inputs!$B$3-'Profile Calcs'!$P$33)</f>
        <v>98.549233490975297</v>
      </c>
      <c r="D36" s="29">
        <f>B36*'CWD Opt1 Calcs'!$B$6/2</f>
        <v>5.4324814375109103</v>
      </c>
      <c r="E36" s="36">
        <f t="shared" si="0"/>
        <v>-5.4324814375109103</v>
      </c>
      <c r="F36" s="36">
        <f t="shared" si="1"/>
        <v>0.22027249231833501</v>
      </c>
      <c r="G36" s="36"/>
      <c r="H36" s="36">
        <f>20-C36/'Cwl Opt1 Calcs'!$B$2*20</f>
        <v>4.4182975789305168</v>
      </c>
      <c r="I36" s="39"/>
      <c r="J36" s="14">
        <f t="shared" si="2"/>
        <v>0.22091487894652584</v>
      </c>
    </row>
    <row r="37" spans="1:10" x14ac:dyDescent="0.25">
      <c r="A37" s="29">
        <v>0.8</v>
      </c>
      <c r="B37" s="42">
        <f>CWD!$J$44+$H$6*A37+$H$7*A37^2+$H$8*A37^3+$H$9*A37^4+$H$10*A37^5+$H$11*A37^6</f>
        <v>0.65933281017503642</v>
      </c>
      <c r="C37" s="28">
        <f>A37*'CWD Opt1 Calcs'!$B$4-(-Inputs!$B$3-'Profile Calcs'!$P$33)</f>
        <v>105.17741962871358</v>
      </c>
      <c r="D37" s="29">
        <f>B37*'CWD Opt1 Calcs'!$B$6/2</f>
        <v>4.6808583385130325</v>
      </c>
      <c r="E37" s="36">
        <f t="shared" si="0"/>
        <v>-4.6808583385130325</v>
      </c>
      <c r="F37" s="36">
        <f t="shared" si="1"/>
        <v>7.416601271879486E-2</v>
      </c>
      <c r="G37" s="36"/>
      <c r="H37" s="36">
        <f>20-C37/'Cwl Opt1 Calcs'!$B$2*20</f>
        <v>3.3703094786562175</v>
      </c>
      <c r="I37" s="39"/>
      <c r="J37" s="14">
        <f t="shared" si="2"/>
        <v>0.16851547393281088</v>
      </c>
    </row>
    <row r="38" spans="1:10" x14ac:dyDescent="0.25">
      <c r="A38" s="29">
        <v>0.85</v>
      </c>
      <c r="B38" s="42">
        <f>CWD!$J$44+$H$6*A38+$H$7*A38^2+$H$8*A38^3+$H$9*A38^4+$H$10*A38^5+$H$11*A38^6</f>
        <v>0.53418684248199</v>
      </c>
      <c r="C38" s="28">
        <f>A38*'CWD Opt1 Calcs'!$B$4-(-Inputs!$B$3-'Profile Calcs'!$P$33)</f>
        <v>111.80560576645183</v>
      </c>
      <c r="D38" s="29">
        <f>B38*'CWD Opt1 Calcs'!$B$6/2</f>
        <v>3.7923987664013912</v>
      </c>
      <c r="E38" s="36">
        <f t="shared" si="0"/>
        <v>-3.7923987664013912</v>
      </c>
      <c r="F38" s="36">
        <f t="shared" si="1"/>
        <v>-7.7427244138835505E-2</v>
      </c>
      <c r="G38" s="36"/>
      <c r="H38" s="36">
        <f>20-C38/'Cwl Opt1 Calcs'!$B$2*20</f>
        <v>2.3223213783819183</v>
      </c>
      <c r="I38" s="39"/>
      <c r="J38" s="14">
        <f t="shared" si="2"/>
        <v>0.11611606891909591</v>
      </c>
    </row>
    <row r="39" spans="1:10" x14ac:dyDescent="0.25">
      <c r="A39" s="29">
        <v>0.9</v>
      </c>
      <c r="B39" s="42">
        <f>CWD!$J$44+$H$6*A39+$H$7*A39^2+$H$8*A39^3+$H$9*A39^4+$H$10*A39^5+$H$11*A39^6</f>
        <v>0.38752676931809305</v>
      </c>
      <c r="C39" s="28">
        <f>A39*'CWD Opt1 Calcs'!$B$4-(-Inputs!$B$3-'Profile Calcs'!$P$33)</f>
        <v>118.43379190419012</v>
      </c>
      <c r="D39" s="29">
        <f>B39*'CWD Opt1 Calcs'!$B$6/2</f>
        <v>2.7512022480392742</v>
      </c>
      <c r="E39" s="36">
        <f t="shared" si="0"/>
        <v>-2.7512022480392742</v>
      </c>
      <c r="F39" s="36">
        <f t="shared" si="1"/>
        <v>-0.23608136742435448</v>
      </c>
      <c r="G39" s="36"/>
      <c r="H39" s="36">
        <f>20-C39/'Cwl Opt1 Calcs'!$B$2*20</f>
        <v>1.2743332781076191</v>
      </c>
      <c r="I39" s="39"/>
      <c r="J39" s="14">
        <f t="shared" si="2"/>
        <v>6.3716663905380957E-2</v>
      </c>
    </row>
    <row r="40" spans="1:10" x14ac:dyDescent="0.25">
      <c r="A40" s="29">
        <v>0.95</v>
      </c>
      <c r="B40" s="42">
        <f>CWD!$J$44+$H$6*A40+$H$7*A40^2+$H$8*A40^3+$H$9*A40^4+$H$10*A40^5+$H$11*A40^6</f>
        <v>0.21335886356386879</v>
      </c>
      <c r="C40" s="28">
        <f>A40*'CWD Opt1 Calcs'!$B$4-(-Inputs!$B$3-'Profile Calcs'!$P$33)</f>
        <v>125.06197804192837</v>
      </c>
      <c r="D40" s="29">
        <f>B40*'CWD Opt1 Calcs'!$B$6/2</f>
        <v>1.5147169990576823</v>
      </c>
      <c r="E40" s="36">
        <f t="shared" si="0"/>
        <v>-1.5147169990576823</v>
      </c>
      <c r="F40" s="36">
        <f t="shared" si="1"/>
        <v>-0.40699066993274258</v>
      </c>
      <c r="G40" s="36"/>
      <c r="H40" s="36">
        <f>20-C40/'Cwl Opt1 Calcs'!$B$2*20</f>
        <v>0.22634517783331987</v>
      </c>
      <c r="I40" s="39"/>
      <c r="J40" s="14">
        <f t="shared" si="2"/>
        <v>1.1317258891665993E-2</v>
      </c>
    </row>
    <row r="41" spans="1:10" x14ac:dyDescent="0.25">
      <c r="A41" s="29">
        <v>1</v>
      </c>
      <c r="B41" s="42">
        <f>CWD!$J$44+$H$6*A41+$H$7*A41^2+$H$8*A41^3+$H$9*A41^4+$H$10*A41^5+$H$11*A41^6</f>
        <v>1.9895196601282805E-13</v>
      </c>
      <c r="C41" s="28">
        <f>A41*'CWD Opt1 Calcs'!$B$4-(-Inputs!$B$3-'Profile Calcs'!$P$33)</f>
        <v>131.69016417966665</v>
      </c>
      <c r="D41" s="29">
        <f>B41*'CWD Opt1 Calcs'!$B$6/2</f>
        <v>1.4124368675471796E-12</v>
      </c>
      <c r="E41" s="36">
        <f t="shared" si="0"/>
        <v>-1.4124368675471796E-12</v>
      </c>
      <c r="F41" s="36">
        <f t="shared" si="1"/>
        <v>-0.59999999999979536</v>
      </c>
      <c r="G41" s="36"/>
      <c r="H41" s="36">
        <f>20-C41/'Cwl Opt1 Calcs'!$B$2*20</f>
        <v>-0.82164292244097936</v>
      </c>
      <c r="I41" s="39"/>
      <c r="J41" s="14">
        <f t="shared" si="2"/>
        <v>-4.1082146122048968E-2</v>
      </c>
    </row>
    <row r="43" spans="1:10" x14ac:dyDescent="0.25">
      <c r="C43" s="28" t="s">
        <v>9</v>
      </c>
      <c r="D43" s="29">
        <f>DEGREES(ATAN((D41-D40)/(C41-C40)))</f>
        <v>-12.872561864026574</v>
      </c>
      <c r="E43" s="28">
        <f>(ATAN((D41-D40)/(C41-C40)))</f>
        <v>-0.22466858769392231</v>
      </c>
    </row>
    <row r="44" spans="1:10" x14ac:dyDescent="0.25">
      <c r="C44" s="28"/>
      <c r="D44" s="29"/>
      <c r="E44" s="28"/>
    </row>
  </sheetData>
  <phoneticPr fontId="1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zoomScale="85" zoomScaleNormal="85" workbookViewId="0">
      <selection activeCell="C5" sqref="C5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3" x14ac:dyDescent="0.25">
      <c r="A1" t="s">
        <v>126</v>
      </c>
    </row>
    <row r="2" spans="1:13" x14ac:dyDescent="0.25">
      <c r="A2" t="s">
        <v>330</v>
      </c>
      <c r="B2" t="s">
        <v>112</v>
      </c>
      <c r="C2" s="22">
        <f>IF(CWD!D49="",0.5,CWD!D49)</f>
        <v>0.42499999999999999</v>
      </c>
      <c r="F2" t="s">
        <v>145</v>
      </c>
      <c r="G2">
        <f>Cwl!D37/COS(C6*PI()/180)</f>
        <v>130.95574703431615</v>
      </c>
      <c r="I2" t="s">
        <v>26</v>
      </c>
      <c r="J2">
        <f>Cwl!D37</f>
        <v>126.49353816142404</v>
      </c>
      <c r="L2" t="s">
        <v>146</v>
      </c>
      <c r="M2">
        <v>1</v>
      </c>
    </row>
    <row r="3" spans="1:13" x14ac:dyDescent="0.25">
      <c r="B3" t="s">
        <v>326</v>
      </c>
      <c r="C3">
        <v>0</v>
      </c>
      <c r="I3" t="s">
        <v>20</v>
      </c>
      <c r="J3">
        <f>G2*SIN(-C6*PI()/180)</f>
        <v>-33.893841398108968</v>
      </c>
      <c r="L3" t="s">
        <v>147</v>
      </c>
      <c r="M3">
        <f>-J3/Cwl!G37</f>
        <v>4.7741931245330615</v>
      </c>
    </row>
    <row r="4" spans="1:13" x14ac:dyDescent="0.25">
      <c r="B4" t="s">
        <v>329</v>
      </c>
      <c r="C4">
        <v>1</v>
      </c>
    </row>
    <row r="5" spans="1:13" x14ac:dyDescent="0.25">
      <c r="A5" t="s">
        <v>92</v>
      </c>
      <c r="B5" t="s">
        <v>327</v>
      </c>
      <c r="C5">
        <f>CWD!J44</f>
        <v>0.6</v>
      </c>
      <c r="G5">
        <f>Cwl!D37/COS(C7*PI()/180)</f>
        <v>126.97672292748389</v>
      </c>
      <c r="J5">
        <f>J2</f>
        <v>126.49353816142404</v>
      </c>
      <c r="M5">
        <f>M2</f>
        <v>1</v>
      </c>
    </row>
    <row r="6" spans="1:13" x14ac:dyDescent="0.25">
      <c r="A6" t="s">
        <v>138</v>
      </c>
      <c r="B6" t="s">
        <v>328</v>
      </c>
      <c r="C6" s="22">
        <f>IF(CWD!P46="",CWD!P44,CWD!P46)</f>
        <v>15</v>
      </c>
      <c r="J6">
        <f>G2*SIN(-C7*PI()/180)</f>
        <v>11.413545399850257</v>
      </c>
      <c r="M6">
        <f>-J6/Cwl!G37</f>
        <v>-1.6076805616241312</v>
      </c>
    </row>
    <row r="7" spans="1:13" x14ac:dyDescent="0.25">
      <c r="B7" t="s">
        <v>331</v>
      </c>
      <c r="C7" s="19">
        <f>-IF(CWD!D49="",0.5*C6,CWD!D48)</f>
        <v>-5</v>
      </c>
      <c r="E7">
        <f>IF(Cwl!D43="",Cwl!D42,Cwl!D43)</f>
        <v>11</v>
      </c>
    </row>
    <row r="8" spans="1:13" x14ac:dyDescent="0.25">
      <c r="A8" t="s">
        <v>7</v>
      </c>
      <c r="B8" t="s">
        <v>332</v>
      </c>
      <c r="C8" s="14">
        <f>CWD!N44</f>
        <v>0.78230189917656678</v>
      </c>
      <c r="I8" s="16"/>
    </row>
    <row r="9" spans="1:13" x14ac:dyDescent="0.25">
      <c r="C9" s="14"/>
      <c r="I9" s="16"/>
    </row>
    <row r="10" spans="1:13" x14ac:dyDescent="0.25">
      <c r="H10" s="16" t="s">
        <v>127</v>
      </c>
    </row>
    <row r="11" spans="1:13" x14ac:dyDescent="0.25">
      <c r="A11" s="56">
        <v>1</v>
      </c>
      <c r="B11" s="56">
        <v>1</v>
      </c>
      <c r="C11" s="56">
        <v>1</v>
      </c>
      <c r="D11" s="56">
        <v>1</v>
      </c>
      <c r="E11" s="56">
        <v>1</v>
      </c>
      <c r="F11" s="58">
        <v>1</v>
      </c>
      <c r="G11" s="16" t="s">
        <v>137</v>
      </c>
      <c r="H11" s="28">
        <f>MMULT(A18:F18,J11:J16)</f>
        <v>1.6076805616240335</v>
      </c>
      <c r="I11" s="28"/>
      <c r="J11" s="38">
        <f>-C5</f>
        <v>-0.6</v>
      </c>
    </row>
    <row r="12" spans="1:13" x14ac:dyDescent="0.25">
      <c r="A12" s="56">
        <f>C2</f>
        <v>0.42499999999999999</v>
      </c>
      <c r="B12" s="56">
        <f>C2^2</f>
        <v>0.18062499999999998</v>
      </c>
      <c r="C12" s="56">
        <f>C2^3</f>
        <v>7.676562499999999E-2</v>
      </c>
      <c r="D12" s="56">
        <f>C2^4</f>
        <v>3.2625390624999993E-2</v>
      </c>
      <c r="E12" s="56">
        <f>C2^5</f>
        <v>1.3865791015624997E-2</v>
      </c>
      <c r="F12" s="56">
        <f>C2^6</f>
        <v>5.8929611816406231E-3</v>
      </c>
      <c r="G12" s="16" t="s">
        <v>129</v>
      </c>
      <c r="H12" s="28">
        <f>MMULT(A19:F19,J11:J16)</f>
        <v>1.1499562722539345</v>
      </c>
      <c r="I12" s="28"/>
      <c r="J12" s="38">
        <f>1-C5</f>
        <v>0.4</v>
      </c>
    </row>
    <row r="13" spans="1:13" x14ac:dyDescent="0.25">
      <c r="A13" s="56">
        <v>1</v>
      </c>
      <c r="B13" s="56">
        <v>2</v>
      </c>
      <c r="C13" s="56">
        <v>3</v>
      </c>
      <c r="D13" s="56">
        <v>4</v>
      </c>
      <c r="E13" s="56">
        <v>5</v>
      </c>
      <c r="F13">
        <v>6</v>
      </c>
      <c r="G13" s="16" t="s">
        <v>130</v>
      </c>
      <c r="H13" s="28">
        <f>MMULT(A20:F20,J11:J16)</f>
        <v>-14.467936355381795</v>
      </c>
      <c r="I13" s="28"/>
      <c r="J13" s="38">
        <f>-M3</f>
        <v>-4.7741931245330615</v>
      </c>
    </row>
    <row r="14" spans="1:13" x14ac:dyDescent="0.25">
      <c r="A14" s="56">
        <v>1</v>
      </c>
      <c r="B14" s="56">
        <v>0</v>
      </c>
      <c r="C14" s="56">
        <v>0</v>
      </c>
      <c r="D14" s="58">
        <v>0</v>
      </c>
      <c r="E14" s="58">
        <v>0</v>
      </c>
      <c r="F14" s="58">
        <v>0</v>
      </c>
      <c r="G14" s="16" t="s">
        <v>131</v>
      </c>
      <c r="H14" s="28">
        <f>MMULT(A21:F21,J11:J16)</f>
        <v>27.76940117174729</v>
      </c>
      <c r="I14" s="28"/>
      <c r="J14" s="38">
        <f>-M6</f>
        <v>1.6076805616241312</v>
      </c>
    </row>
    <row r="15" spans="1:13" x14ac:dyDescent="0.25">
      <c r="A15" s="56">
        <f>1/2</f>
        <v>0.5</v>
      </c>
      <c r="B15" s="56">
        <f>1/3</f>
        <v>0.33333333333333331</v>
      </c>
      <c r="C15" s="56">
        <f>1/4</f>
        <v>0.25</v>
      </c>
      <c r="D15" s="58">
        <f>1/5</f>
        <v>0.2</v>
      </c>
      <c r="E15" s="58">
        <f>1/6</f>
        <v>0.16666666666666666</v>
      </c>
      <c r="F15" s="58">
        <f>1/7</f>
        <v>0.14285714285714285</v>
      </c>
      <c r="G15" s="16" t="s">
        <v>132</v>
      </c>
      <c r="H15" s="28">
        <f>MMULT(A22:F22,J11:J16)</f>
        <v>-23.599028049952153</v>
      </c>
      <c r="I15" s="28"/>
      <c r="J15" s="39">
        <f>C8-C5</f>
        <v>0.18230189917656681</v>
      </c>
    </row>
    <row r="16" spans="1:13" x14ac:dyDescent="0.25">
      <c r="A16" s="56">
        <v>1</v>
      </c>
      <c r="B16" s="56">
        <f>2*C2</f>
        <v>0.85</v>
      </c>
      <c r="C16" s="56">
        <f>3*C2^2</f>
        <v>0.54187499999999988</v>
      </c>
      <c r="D16" s="56">
        <f>4*C2^3</f>
        <v>0.30706249999999996</v>
      </c>
      <c r="E16" s="56">
        <f>5*C2^4</f>
        <v>0.16312695312499997</v>
      </c>
      <c r="F16" s="56">
        <f>6*C2^5</f>
        <v>8.319474609374998E-2</v>
      </c>
      <c r="G16" s="16" t="s">
        <v>133</v>
      </c>
      <c r="H16" s="28">
        <f>MMULT(A23:F23,J11:J16)</f>
        <v>6.9399263997086678</v>
      </c>
      <c r="I16" s="28"/>
      <c r="J16" s="27">
        <v>0</v>
      </c>
    </row>
    <row r="17" spans="1:9" x14ac:dyDescent="0.25">
      <c r="A17" s="28"/>
      <c r="B17" s="28"/>
      <c r="C17" s="28"/>
      <c r="D17" s="28"/>
      <c r="E17" s="28"/>
      <c r="F17" s="28"/>
      <c r="G17" s="28"/>
      <c r="H17" s="28"/>
      <c r="I17" s="28"/>
    </row>
    <row r="18" spans="1:9" x14ac:dyDescent="0.25">
      <c r="A18" s="28">
        <f t="array" ref="A18:F23">MINVERSE(A11:F16)</f>
        <v>8.5265128291212022E-14</v>
      </c>
      <c r="B18" s="28">
        <v>2.2737367544323206E-13</v>
      </c>
      <c r="C18" s="28">
        <v>8.8817841970012523E-15</v>
      </c>
      <c r="D18" s="28">
        <v>1.0000000000000053</v>
      </c>
      <c r="E18" s="28">
        <v>-5.6843418860808015E-13</v>
      </c>
      <c r="F18" s="28">
        <v>-4.6185277824406512E-14</v>
      </c>
      <c r="G18" s="28"/>
      <c r="H18" s="28"/>
      <c r="I18" s="28"/>
    </row>
    <row r="19" spans="1:9" x14ac:dyDescent="0.25">
      <c r="A19" s="28">
        <v>-28.157964369508591</v>
      </c>
      <c r="B19" s="28">
        <v>-40.946671411880288</v>
      </c>
      <c r="C19" s="28">
        <v>1.7870242970354724</v>
      </c>
      <c r="D19" s="28">
        <v>-9.1626858086648753</v>
      </c>
      <c r="E19" s="28">
        <v>131.0799136069154</v>
      </c>
      <c r="F19" s="28">
        <v>-12.603995572270435</v>
      </c>
      <c r="G19" s="28"/>
      <c r="H19" s="28"/>
      <c r="I19" s="28"/>
    </row>
    <row r="20" spans="1:9" x14ac:dyDescent="0.25">
      <c r="A20" s="28">
        <v>192.90947347044937</v>
      </c>
      <c r="B20" s="28">
        <v>373.9403800719133</v>
      </c>
      <c r="C20" s="28">
        <v>-12.529888497389265</v>
      </c>
      <c r="D20" s="28">
        <v>32.423131824195501</v>
      </c>
      <c r="E20" s="28">
        <v>-879.00647948166306</v>
      </c>
      <c r="F20" s="28">
        <v>67.775861413012919</v>
      </c>
      <c r="G20" s="28"/>
      <c r="H20" s="28"/>
      <c r="I20" s="28"/>
    </row>
    <row r="21" spans="1:9" x14ac:dyDescent="0.25">
      <c r="A21" s="28">
        <v>-471.83088181909989</v>
      </c>
      <c r="B21" s="28">
        <v>-992.809711150873</v>
      </c>
      <c r="C21" s="28">
        <v>31.616838894854897</v>
      </c>
      <c r="D21" s="28">
        <v>-54.959886254084424</v>
      </c>
      <c r="E21" s="28">
        <v>2090.4751619870876</v>
      </c>
      <c r="F21" s="28">
        <v>-128.1195245760936</v>
      </c>
      <c r="G21" s="28"/>
      <c r="H21" s="28"/>
      <c r="I21" s="28"/>
    </row>
    <row r="22" spans="1:9" x14ac:dyDescent="0.25">
      <c r="A22" s="28">
        <v>483.56520070488563</v>
      </c>
      <c r="B22" s="28">
        <v>1027.5849677335264</v>
      </c>
      <c r="C22" s="28">
        <v>-33.792109485683923</v>
      </c>
      <c r="D22" s="28">
        <v>44.301120270241832</v>
      </c>
      <c r="E22" s="28">
        <v>-2068.2505399568449</v>
      </c>
      <c r="F22" s="28">
        <v>103.32744720223037</v>
      </c>
      <c r="G22" s="28"/>
      <c r="H22" s="28"/>
      <c r="I22" s="28"/>
    </row>
    <row r="23" spans="1:9" x14ac:dyDescent="0.25">
      <c r="A23" s="28">
        <v>-175.4858279867266</v>
      </c>
      <c r="B23" s="28">
        <v>-367.76896524268659</v>
      </c>
      <c r="C23" s="28">
        <v>12.91813479118281</v>
      </c>
      <c r="D23" s="28">
        <v>-13.601680031688039</v>
      </c>
      <c r="E23" s="28">
        <v>725.70194384450554</v>
      </c>
      <c r="F23" s="28">
        <v>-30.379788466879216</v>
      </c>
      <c r="G23" s="28"/>
      <c r="H23" s="28"/>
      <c r="I23" s="28"/>
    </row>
    <row r="24" spans="1:9" x14ac:dyDescent="0.25">
      <c r="A24" s="28"/>
      <c r="B24" s="28"/>
      <c r="C24" s="28"/>
      <c r="D24" s="28"/>
      <c r="E24" s="28"/>
      <c r="F24" s="28"/>
      <c r="G24" s="28"/>
      <c r="H24" s="28"/>
      <c r="I24" s="28"/>
    </row>
    <row r="25" spans="1:9" x14ac:dyDescent="0.25">
      <c r="A25" s="28" t="s">
        <v>115</v>
      </c>
      <c r="B25" s="28" t="s">
        <v>118</v>
      </c>
      <c r="C25" s="28" t="s">
        <v>114</v>
      </c>
      <c r="D25" s="55" t="s">
        <v>140</v>
      </c>
      <c r="E25" s="38"/>
      <c r="F25" s="60" t="s">
        <v>136</v>
      </c>
      <c r="G25" s="38"/>
      <c r="H25" s="57"/>
      <c r="I25" s="57"/>
    </row>
    <row r="26" spans="1:9" x14ac:dyDescent="0.25">
      <c r="A26" s="29">
        <v>0</v>
      </c>
      <c r="B26" s="42">
        <f>Cwl!$M$38+$H$11*A26+$H$12*A26^2+$H$13*A26^3+$H$14*A26^4+$H$15*A26^5+$H$16*A26^6</f>
        <v>0.60814500000000005</v>
      </c>
      <c r="C26" s="28">
        <f>A26*'CWD Opt1 Calcs'!$B$4-(-Inputs!$B$3-'Profile Calcs'!$P$33)</f>
        <v>-0.87355857509876955</v>
      </c>
      <c r="D26" s="29">
        <f>B26*Cwl!$G$37</f>
        <v>4.3174562987685938</v>
      </c>
      <c r="E26" s="38"/>
      <c r="F26" s="36">
        <f>$H$11+2*$H$12*A26+3*$H$13*A26^2+4*$H$14*A26^3+5*$H$15*A26^4+6*$H$16*A26^5</f>
        <v>1.6076805616240335</v>
      </c>
      <c r="G26" s="36"/>
      <c r="H26" s="36">
        <f>20-C26/'Cwl Opt1 Calcs'!$B$2*20</f>
        <v>20.138119083045016</v>
      </c>
      <c r="I26" s="39"/>
    </row>
    <row r="27" spans="1:9" x14ac:dyDescent="0.25">
      <c r="A27" s="29">
        <v>0.05</v>
      </c>
      <c r="B27" s="42">
        <f>Cwl!$M$38+$H$11*A27+$H$12*A27^2+$H$13*A27^3+$H$14*A27^4+$H$15*A27^5+$H$16*A27^6</f>
        <v>0.68976171921482166</v>
      </c>
      <c r="C27" s="28">
        <f>A27*'CWD Opt1 Calcs'!$B$4-(-Inputs!$B$3-'Profile Calcs'!$P$33)</f>
        <v>5.7546275626395023</v>
      </c>
      <c r="D27" s="29">
        <f>B27*Cwl!$G$37</f>
        <v>4.8968849193424031</v>
      </c>
      <c r="E27" s="38"/>
      <c r="F27" s="36">
        <f t="shared" ref="F27:F46" si="0">$H$11+2*$H$12*A27+3*$H$13*A27^2+4*$H$14*A27^3+5*$H$15*A27^4+6*$H$16*A27^5</f>
        <v>1.6273269095053755</v>
      </c>
      <c r="G27" s="36"/>
      <c r="H27" s="36">
        <f>20-C27/'Cwl Opt1 Calcs'!$B$2*20</f>
        <v>19.090130982770713</v>
      </c>
      <c r="I27" s="39"/>
    </row>
    <row r="28" spans="1:9" x14ac:dyDescent="0.25">
      <c r="A28" s="29">
        <v>0.1</v>
      </c>
      <c r="B28" s="42">
        <f>Cwl!$M$38+$H$11*A28+$H$12*A28^2+$H$13*A28^3+$H$14*A28^4+$H$15*A28^5+$H$16*A28^6</f>
        <v>0.7684925722926359</v>
      </c>
      <c r="C28" s="28">
        <f>A28*'CWD Opt1 Calcs'!$B$4-(-Inputs!$B$3-'Profile Calcs'!$P$33)</f>
        <v>12.382813700377774</v>
      </c>
      <c r="D28" s="29">
        <f>B28*Cwl!$G$37</f>
        <v>5.4558256613171521</v>
      </c>
      <c r="E28" s="38"/>
      <c r="F28" s="36">
        <f t="shared" si="0"/>
        <v>1.503328211659362</v>
      </c>
      <c r="G28" s="36"/>
      <c r="H28" s="36">
        <f>20-C28/'Cwl Opt1 Calcs'!$B$2*20</f>
        <v>18.042142882496414</v>
      </c>
      <c r="I28" s="39"/>
    </row>
    <row r="29" spans="1:9" x14ac:dyDescent="0.25">
      <c r="A29" s="29">
        <v>0.15</v>
      </c>
      <c r="B29" s="42">
        <f>Cwl!$M$38+$H$11*A29+$H$12*A29^2+$H$13*A29^3+$H$14*A29^4+$H$15*A29^5+$H$16*A29^6</f>
        <v>0.8386870734197055</v>
      </c>
      <c r="C29" s="28">
        <f>A29*'CWD Opt1 Calcs'!$B$4-(-Inputs!$B$3-'Profile Calcs'!$P$33)</f>
        <v>19.010999838116042</v>
      </c>
      <c r="D29" s="29">
        <f>B29*Cwl!$G$37</f>
        <v>5.9541635429571977</v>
      </c>
      <c r="E29" s="38"/>
      <c r="F29" s="36">
        <f t="shared" si="0"/>
        <v>1.2943956193449571</v>
      </c>
      <c r="G29" s="36"/>
      <c r="H29" s="36">
        <f>20-C29/'Cwl Opt1 Calcs'!$B$2*20</f>
        <v>16.994154782222115</v>
      </c>
      <c r="I29" s="39"/>
    </row>
    <row r="30" spans="1:9" x14ac:dyDescent="0.25">
      <c r="A30" s="29">
        <v>0.2</v>
      </c>
      <c r="B30" s="42">
        <f>Cwl!$M$38+$H$11*A30+$H$12*A30^2+$H$13*A30^3+$H$14*A30^4+$H$15*A30^5+$H$16*A30^6</f>
        <v>0.89725938056030208</v>
      </c>
      <c r="C30" s="28">
        <f>A30*'CWD Opt1 Calcs'!$B$4-(-Inputs!$B$3-'Profile Calcs'!$P$33)</f>
        <v>25.639185975854318</v>
      </c>
      <c r="D30" s="29">
        <f>B30*Cwl!$G$37</f>
        <v>6.3699909795020631</v>
      </c>
      <c r="E30" s="38"/>
      <c r="F30" s="36">
        <f t="shared" si="0"/>
        <v>1.0446639796635282</v>
      </c>
      <c r="G30" s="36"/>
      <c r="H30" s="36">
        <f>20-C30/'Cwl Opt1 Calcs'!$B$2*20</f>
        <v>15.946166681947815</v>
      </c>
      <c r="I30" s="39"/>
    </row>
    <row r="31" spans="1:9" x14ac:dyDescent="0.25">
      <c r="A31" s="29">
        <v>0.25</v>
      </c>
      <c r="B31" s="42">
        <f>Cwl!$M$38+$H$11*A31+$H$12*A31^2+$H$13*A31^3+$H$14*A31^4+$H$15*A31^5+$H$16*A31^6</f>
        <v>0.94299851733482409</v>
      </c>
      <c r="C31" s="28">
        <f>A31*'CWD Opt1 Calcs'!$B$4-(-Inputs!$B$3-'Profile Calcs'!$P$33)</f>
        <v>32.267372113592586</v>
      </c>
      <c r="D31" s="29">
        <f>B31*Cwl!$G$37</f>
        <v>6.6947107817982232</v>
      </c>
      <c r="E31" s="38"/>
      <c r="F31" s="36">
        <f t="shared" si="0"/>
        <v>0.78525331899878503</v>
      </c>
      <c r="G31" s="36"/>
      <c r="H31" s="36">
        <f>20-C31/'Cwl Opt1 Calcs'!$B$2*20</f>
        <v>14.898178581673516</v>
      </c>
      <c r="I31" s="39"/>
    </row>
    <row r="32" spans="1:9" x14ac:dyDescent="0.25">
      <c r="A32" s="29">
        <v>0.3</v>
      </c>
      <c r="B32" s="42">
        <f>Cwl!$M$38+$H$11*A32+$H$12*A32^2+$H$13*A32^3+$H$14*A32^4+$H$15*A32^5+$H$16*A32^6</f>
        <v>0.97595666906991263</v>
      </c>
      <c r="C32" s="28">
        <f>A32*'CWD Opt1 Calcs'!$B$4-(-Inputs!$B$3-'Profile Calcs'!$P$33)</f>
        <v>38.895558251330854</v>
      </c>
      <c r="D32" s="29">
        <f>B32*Cwl!$G$37</f>
        <v>6.9286934336401842</v>
      </c>
      <c r="E32" s="38"/>
      <c r="F32" s="36">
        <f t="shared" si="0"/>
        <v>0.53583032645670714</v>
      </c>
      <c r="G32" s="36"/>
      <c r="H32" s="36">
        <f>20-C32/'Cwl Opt1 Calcs'!$B$2*20</f>
        <v>13.850190481399217</v>
      </c>
      <c r="I32" s="39"/>
    </row>
    <row r="33" spans="1:9" x14ac:dyDescent="0.25">
      <c r="A33" s="29">
        <v>0.35</v>
      </c>
      <c r="B33" s="42">
        <f>Cwl!$M$38+$H$11*A33+$H$12*A33^2+$H$13*A33^3+$H$14*A33^4+$H$15*A33^5+$H$16*A33^6</f>
        <v>0.99691555302056334</v>
      </c>
      <c r="C33" s="28">
        <f>A33*'CWD Opt1 Calcs'!$B$4-(-Inputs!$B$3-'Profile Calcs'!$P$33)</f>
        <v>45.523744389069122</v>
      </c>
      <c r="D33" s="29">
        <f>B33*Cwl!$G$37</f>
        <v>7.077488647820843</v>
      </c>
      <c r="E33" s="38"/>
      <c r="F33" s="36">
        <f t="shared" si="0"/>
        <v>0.30616983730548486</v>
      </c>
      <c r="G33" s="36"/>
      <c r="H33" s="36">
        <f>20-C33/'Cwl Opt1 Calcs'!$B$2*20</f>
        <v>12.802202381124916</v>
      </c>
      <c r="I33" s="39"/>
    </row>
    <row r="34" spans="1:9" x14ac:dyDescent="0.25">
      <c r="A34" s="29">
        <v>0.4</v>
      </c>
      <c r="B34" s="42">
        <f>Cwl!$M$38+$H$11*A34+$H$12*A34^2+$H$13*A34^3+$H$14*A34^4+$H$15*A34^5+$H$16*A34^6</f>
        <v>1.0069308627642357</v>
      </c>
      <c r="C34" s="28">
        <f>A34*'CWD Opt1 Calcs'!$B$4-(-Inputs!$B$3-'Profile Calcs'!$P$33)</f>
        <v>52.151930526807405</v>
      </c>
      <c r="D34" s="29">
        <f>B34*Cwl!$G$37</f>
        <v>7.1485912008911416</v>
      </c>
      <c r="E34" s="38"/>
      <c r="F34" s="36">
        <f t="shared" si="0"/>
        <v>9.7716316415449977E-2</v>
      </c>
      <c r="G34" s="36"/>
      <c r="H34" s="36">
        <f>20-C34/'Cwl Opt1 Calcs'!$B$2*20</f>
        <v>11.754214280850615</v>
      </c>
      <c r="I34" s="39"/>
    </row>
    <row r="35" spans="1:9" x14ac:dyDescent="0.25">
      <c r="A35" s="29">
        <v>0.45</v>
      </c>
      <c r="B35" s="42">
        <f>Cwl!$M$38+$H$11*A35+$H$12*A35^2+$H$13*A35^3+$H$14*A35^4+$H$15*A35^5+$H$16*A35^6</f>
        <v>1.0069547867669562</v>
      </c>
      <c r="C35" s="28">
        <f>A35*'CWD Opt1 Calcs'!$B$4-(-Inputs!$B$3-'Profile Calcs'!$P$33)</f>
        <v>58.780116664545673</v>
      </c>
      <c r="D35" s="29">
        <f>B35*Cwl!$G$37</f>
        <v>7.1487610466289793</v>
      </c>
      <c r="E35" s="38"/>
      <c r="F35" s="36">
        <f t="shared" si="0"/>
        <v>-9.4854658300985051E-2</v>
      </c>
      <c r="G35" s="36"/>
      <c r="H35" s="36">
        <f>20-C35/'Cwl Opt1 Calcs'!$B$2*20</f>
        <v>10.706226180576316</v>
      </c>
      <c r="I35" s="39"/>
    </row>
    <row r="36" spans="1:9" x14ac:dyDescent="0.25">
      <c r="A36" s="29">
        <v>0.5</v>
      </c>
      <c r="B36" s="42">
        <f>Cwl!$M$38+$H$11*A36+$H$12*A36^2+$H$13*A36^3+$H$14*A36^4+$H$15*A36^5+$H$16*A36^6</f>
        <v>0.99753660112142484</v>
      </c>
      <c r="C36" s="28">
        <f>A36*'CWD Opt1 Calcs'!$B$4-(-Inputs!$B$3-'Profile Calcs'!$P$33)</f>
        <v>65.408302802283941</v>
      </c>
      <c r="D36" s="29">
        <f>B36*Cwl!$G$37</f>
        <v>7.0818977082174639</v>
      </c>
      <c r="E36" s="38"/>
      <c r="F36" s="36">
        <f t="shared" si="0"/>
        <v>-0.28207491244940641</v>
      </c>
      <c r="G36" s="36"/>
      <c r="H36" s="36">
        <f>20-C36/'Cwl Opt1 Calcs'!$B$2*20</f>
        <v>9.6582380803020165</v>
      </c>
      <c r="I36" s="39"/>
    </row>
    <row r="37" spans="1:9" x14ac:dyDescent="0.25">
      <c r="A37" s="29">
        <v>0.55000000000000004</v>
      </c>
      <c r="B37" s="42">
        <f>Cwl!$M$38+$H$11*A37+$H$12*A37^2+$H$13*A37^3+$H$14*A37^4+$H$15*A37^5+$H$16*A37^6</f>
        <v>0.97860133645710967</v>
      </c>
      <c r="C37" s="28">
        <f>A37*'CWD Opt1 Calcs'!$B$4-(-Inputs!$B$3-'Profile Calcs'!$P$33)</f>
        <v>72.036488940022224</v>
      </c>
      <c r="D37" s="29">
        <f>B37*Cwl!$G$37</f>
        <v>6.9474689491323804</v>
      </c>
      <c r="E37" s="38"/>
      <c r="F37" s="36">
        <f t="shared" si="0"/>
        <v>-0.47812219171343928</v>
      </c>
      <c r="G37" s="36"/>
      <c r="H37" s="36">
        <f>20-C37/'Cwl Opt1 Calcs'!$B$2*20</f>
        <v>8.6102499800277155</v>
      </c>
      <c r="I37" s="39"/>
    </row>
    <row r="38" spans="1:9" x14ac:dyDescent="0.25">
      <c r="A38" s="29">
        <v>0.6</v>
      </c>
      <c r="B38" s="42">
        <f>Cwl!$M$38+$H$11*A38+$H$12*A38^2+$H$13*A38^3+$H$14*A38^4+$H$15*A38^5+$H$16*A38^6</f>
        <v>0.94930651902234553</v>
      </c>
      <c r="C38" s="28">
        <f>A38*'CWD Opt1 Calcs'!$B$4-(-Inputs!$B$3-'Profile Calcs'!$P$33)</f>
        <v>78.664675077760478</v>
      </c>
      <c r="D38" s="29">
        <f>B38*Cwl!$G$37</f>
        <v>6.7394937227390059</v>
      </c>
      <c r="E38" s="38"/>
      <c r="F38" s="36">
        <f t="shared" si="0"/>
        <v>-0.69925867841484424</v>
      </c>
      <c r="G38" s="36"/>
      <c r="H38" s="36">
        <f>20-C38/'Cwl Opt1 Calcs'!$B$2*20</f>
        <v>7.562261879753418</v>
      </c>
      <c r="I38" s="39"/>
    </row>
    <row r="39" spans="1:9" x14ac:dyDescent="0.25">
      <c r="A39" s="29">
        <v>0.65</v>
      </c>
      <c r="B39" s="42">
        <f>Cwl!$M$38+$H$11*A39+$H$12*A39^2+$H$13*A39^3+$H$14*A39^4+$H$15*A39^5+$H$16*A39^6</f>
        <v>0.90797698593842491</v>
      </c>
      <c r="C39" s="28">
        <f>A39*'CWD Opt1 Calcs'!$B$4-(-Inputs!$B$3-'Profile Calcs'!$P$33)</f>
        <v>85.29286121549876</v>
      </c>
      <c r="D39" s="29">
        <f>B39*Cwl!$G$37</f>
        <v>6.4460794005981716</v>
      </c>
      <c r="E39" s="38"/>
      <c r="F39" s="36">
        <f t="shared" si="0"/>
        <v>-0.96226950807355038</v>
      </c>
      <c r="G39" s="36"/>
      <c r="H39" s="36">
        <f>20-C39/'Cwl Opt1 Calcs'!$B$2*20</f>
        <v>6.5142737794791152</v>
      </c>
      <c r="I39" s="39"/>
    </row>
    <row r="40" spans="1:9" x14ac:dyDescent="0.25">
      <c r="A40" s="29">
        <v>0.7</v>
      </c>
      <c r="B40" s="42">
        <f>Cwl!$M$38+$H$11*A40+$H$12*A40^2+$H$13*A40^3+$H$14*A40^4+$H$15*A40^5+$H$16*A40^6</f>
        <v>0.85211777462568716</v>
      </c>
      <c r="C40" s="28">
        <f>A40*'CWD Opt1 Calcs'!$B$4-(-Inputs!$B$3-'Profile Calcs'!$P$33)</f>
        <v>91.921047353237014</v>
      </c>
      <c r="D40" s="29">
        <f>B40*Cwl!$G$37</f>
        <v>6.0495132794816193</v>
      </c>
      <c r="E40" s="38"/>
      <c r="F40" s="36">
        <f t="shared" si="0"/>
        <v>-1.2829012859677604</v>
      </c>
      <c r="G40" s="36"/>
      <c r="H40" s="36">
        <f>20-C40/'Cwl Opt1 Calcs'!$B$2*20</f>
        <v>5.4662856792048196</v>
      </c>
      <c r="I40" s="39"/>
    </row>
    <row r="41" spans="1:9" x14ac:dyDescent="0.25">
      <c r="A41" s="29">
        <v>0.75</v>
      </c>
      <c r="B41" s="42">
        <f>Cwl!$M$38+$H$11*A41+$H$12*A41^2+$H$13*A41^3+$H$14*A41^4+$H$15*A41^5+$H$16*A41^6</f>
        <v>0.77850508640160254</v>
      </c>
      <c r="C41" s="28">
        <f>A41*'CWD Opt1 Calcs'!$B$4-(-Inputs!$B$3-'Profile Calcs'!$P$33)</f>
        <v>98.549233490975297</v>
      </c>
      <c r="D41" s="29">
        <f>B41*Cwl!$G$37</f>
        <v>5.5269083670966408</v>
      </c>
      <c r="E41" s="38"/>
      <c r="F41" s="36">
        <f t="shared" si="0"/>
        <v>-1.6743006036939665</v>
      </c>
      <c r="G41" s="36"/>
      <c r="H41" s="36">
        <f>20-C41/'Cwl Opt1 Calcs'!$B$2*20</f>
        <v>4.4182975789305168</v>
      </c>
      <c r="I41" s="39"/>
    </row>
    <row r="42" spans="1:9" x14ac:dyDescent="0.25">
      <c r="A42" s="29">
        <v>0.8</v>
      </c>
      <c r="B42" s="42">
        <f>Cwl!$M$38+$H$11*A42+$H$12*A42^2+$H$13*A42^3+$H$14*A42^4+$H$15*A42^5+$H$16*A42^6</f>
        <v>0.68335532425086365</v>
      </c>
      <c r="C42" s="28">
        <f>A42*'CWD Opt1 Calcs'!$B$4-(-Inputs!$B$3-'Profile Calcs'!$P$33)</f>
        <v>105.17741962871358</v>
      </c>
      <c r="D42" s="29">
        <f>B42*Cwl!$G$37</f>
        <v>4.8514034465200657</v>
      </c>
      <c r="E42" s="38"/>
      <c r="F42" s="36">
        <f t="shared" si="0"/>
        <v>-2.1454525557270685</v>
      </c>
      <c r="G42" s="36"/>
      <c r="H42" s="36">
        <f>20-C42/'Cwl Opt1 Calcs'!$B$2*20</f>
        <v>3.3703094786562175</v>
      </c>
      <c r="I42" s="39"/>
    </row>
    <row r="43" spans="1:9" x14ac:dyDescent="0.25">
      <c r="A43" s="29">
        <v>0.85</v>
      </c>
      <c r="B43" s="42">
        <f>Cwl!$M$38+$H$11*A43+$H$12*A43^2+$H$13*A43^3+$H$14*A43^4+$H$15*A43^5+$H$16*A43^6</f>
        <v>0.56257220476744862</v>
      </c>
      <c r="C43" s="28">
        <f>A43*'CWD Opt1 Calcs'!$B$4-(-Inputs!$B$3-'Profile Calcs'!$P$33)</f>
        <v>111.80560576645183</v>
      </c>
      <c r="D43" s="29">
        <f>B43*Cwl!$G$37</f>
        <v>3.9939174193413671</v>
      </c>
      <c r="E43" s="38"/>
      <c r="F43" s="36">
        <f t="shared" si="0"/>
        <v>-2.6996192559803838</v>
      </c>
      <c r="G43" s="36"/>
      <c r="H43" s="36">
        <f>20-C43/'Cwl Opt1 Calcs'!$B$2*20</f>
        <v>2.3223213783819183</v>
      </c>
      <c r="I43" s="39"/>
    </row>
    <row r="44" spans="1:9" x14ac:dyDescent="0.25">
      <c r="A44" s="29">
        <v>0.9</v>
      </c>
      <c r="B44" s="42">
        <f>Cwl!$M$38+$H$11*A44+$H$12*A44^2+$H$13*A44^3+$H$14*A44^4+$H$15*A44^5+$H$16*A44^6</f>
        <v>0.41207194426871263</v>
      </c>
      <c r="C44" s="28">
        <f>A44*'CWD Opt1 Calcs'!$B$4-(-Inputs!$B$3-'Profile Calcs'!$P$33)</f>
        <v>118.43379190419012</v>
      </c>
      <c r="D44" s="29">
        <f>B44*Cwl!$G$37</f>
        <v>2.9254579275152701</v>
      </c>
      <c r="E44" s="38"/>
      <c r="F44" s="36">
        <f t="shared" si="0"/>
        <v>-3.3327783543657432</v>
      </c>
      <c r="G44" s="36"/>
      <c r="H44" s="36">
        <f>20-C44/'Cwl Opt1 Calcs'!$B$2*20</f>
        <v>1.2743332781076191</v>
      </c>
      <c r="I44" s="39"/>
    </row>
    <row r="45" spans="1:9" x14ac:dyDescent="0.25">
      <c r="A45" s="29">
        <v>0.95</v>
      </c>
      <c r="B45" s="42">
        <f>Cwl!$M$38+$H$11*A45+$H$12*A45^2+$H$13*A45^3+$H$14*A45^4+$H$15*A45^5+$H$16*A45^6</f>
        <v>0.22818651908145426</v>
      </c>
      <c r="C45" s="28">
        <f>A45*'CWD Opt1 Calcs'!$B$4-(-Inputs!$B$3-'Profile Calcs'!$P$33)</f>
        <v>125.06197804192837</v>
      </c>
      <c r="D45" s="29">
        <f>B45*Cwl!$G$37</f>
        <v>1.6199842539234961</v>
      </c>
      <c r="E45" s="38"/>
      <c r="F45" s="36">
        <f t="shared" si="0"/>
        <v>-4.0320615533536497</v>
      </c>
      <c r="G45" s="36"/>
      <c r="H45" s="36">
        <f>20-C45/'Cwl Opt1 Calcs'!$B$2*20</f>
        <v>0.22634517783331987</v>
      </c>
      <c r="I45" s="39"/>
    </row>
    <row r="46" spans="1:9" x14ac:dyDescent="0.25">
      <c r="A46" s="29">
        <v>1</v>
      </c>
      <c r="B46" s="42">
        <f>Cwl!$M$38+$H$11*A46+$H$12*A46^2+$H$13*A46^3+$H$14*A46^4+$H$15*A46^5+$H$16*A46^6</f>
        <v>8.1449999999776423E-3</v>
      </c>
      <c r="C46" s="28">
        <f>A46*'CWD Opt1 Calcs'!$B$4-(-Inputs!$B$3-'Profile Calcs'!$P$33)</f>
        <v>131.69016417966665</v>
      </c>
      <c r="D46" s="29">
        <f>B46*Cwl!$G$37</f>
        <v>5.782450164578129E-2</v>
      </c>
      <c r="E46" s="38"/>
      <c r="F46" s="36">
        <f t="shared" si="0"/>
        <v>-4.7741931245330704</v>
      </c>
      <c r="G46" s="36"/>
      <c r="H46" s="36">
        <f>20-C46/'Cwl Opt1 Calcs'!$B$2*20</f>
        <v>-0.82164292244097936</v>
      </c>
      <c r="I46" s="39"/>
    </row>
    <row r="48" spans="1:9" x14ac:dyDescent="0.25">
      <c r="C48" s="28"/>
      <c r="D48" s="29"/>
      <c r="E48" s="28"/>
    </row>
    <row r="49" spans="3:5" x14ac:dyDescent="0.25">
      <c r="C49" s="28"/>
      <c r="D49" s="29"/>
      <c r="E49" s="28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topLeftCell="A23" workbookViewId="0">
      <selection activeCell="B22" sqref="B22"/>
    </sheetView>
  </sheetViews>
  <sheetFormatPr defaultRowHeight="12.75" x14ac:dyDescent="0.2"/>
  <cols>
    <col min="1" max="10" width="9.140625" style="28"/>
    <col min="11" max="11" width="13.140625" style="28" bestFit="1" customWidth="1"/>
    <col min="12" max="16384" width="9.140625" style="28"/>
  </cols>
  <sheetData>
    <row r="1" spans="1:9" x14ac:dyDescent="0.2">
      <c r="A1" s="28" t="s">
        <v>102</v>
      </c>
    </row>
    <row r="2" spans="1:9" x14ac:dyDescent="0.2">
      <c r="A2" s="55" t="s">
        <v>239</v>
      </c>
      <c r="B2" s="29">
        <f>'Profile Calcs'!P28-'Profile Calcs'!P33</f>
        <v>130.24478865318773</v>
      </c>
    </row>
    <row r="3" spans="1:9" x14ac:dyDescent="0.2">
      <c r="A3" s="28" t="s">
        <v>96</v>
      </c>
      <c r="B3" s="29">
        <f>IF(CMUpr!R41="",CMUpr!P41,CMUpr!R41)</f>
        <v>5.0999999999999996</v>
      </c>
    </row>
    <row r="4" spans="1:9" x14ac:dyDescent="0.2">
      <c r="A4" s="28" t="s">
        <v>22</v>
      </c>
      <c r="B4" s="28">
        <f>AVERAGE('CWD Opt1 Calcs'!D6,'CWD Opt1 Calcs'!B6)</f>
        <v>14.19877265707551</v>
      </c>
    </row>
    <row r="5" spans="1:9" x14ac:dyDescent="0.2">
      <c r="A5" s="28" t="s">
        <v>95</v>
      </c>
      <c r="B5" s="29">
        <f>IF(CMUpr!L41="",CMUpr!J41,CMUpr!L41)</f>
        <v>0.77157933154521707</v>
      </c>
    </row>
    <row r="6" spans="1:9" x14ac:dyDescent="0.2">
      <c r="A6" s="28" t="s">
        <v>92</v>
      </c>
      <c r="B6" s="230">
        <f>B4*B8</f>
        <v>8.9320574123181338</v>
      </c>
    </row>
    <row r="8" spans="1:9" x14ac:dyDescent="0.2">
      <c r="A8" s="28" t="s">
        <v>90</v>
      </c>
      <c r="B8" s="29">
        <f>IF(CMUpr!G41="",CMUpr!E41,CMUpr!G41)</f>
        <v>0.62907250000000003</v>
      </c>
    </row>
    <row r="9" spans="1:9" x14ac:dyDescent="0.2">
      <c r="A9" s="28" t="s">
        <v>120</v>
      </c>
      <c r="B9" s="28">
        <f>B3</f>
        <v>5.0999999999999996</v>
      </c>
    </row>
    <row r="11" spans="1:9" x14ac:dyDescent="0.2">
      <c r="A11" s="28">
        <v>1</v>
      </c>
      <c r="B11" s="28">
        <v>1</v>
      </c>
      <c r="C11" s="28">
        <v>1</v>
      </c>
      <c r="D11" s="28">
        <v>1</v>
      </c>
      <c r="E11" s="28">
        <v>1</v>
      </c>
      <c r="G11" s="28">
        <f>MMULT(A17:E17,I11:I15)</f>
        <v>1.9622238735894246</v>
      </c>
      <c r="I11" s="28">
        <f>-B8</f>
        <v>-0.62907250000000003</v>
      </c>
    </row>
    <row r="12" spans="1:9" x14ac:dyDescent="0.2">
      <c r="A12" s="28">
        <v>0.5</v>
      </c>
      <c r="B12" s="28">
        <v>0.25</v>
      </c>
      <c r="C12" s="28">
        <v>0.125</v>
      </c>
      <c r="D12" s="28">
        <f>1/16</f>
        <v>6.25E-2</v>
      </c>
      <c r="E12" s="28">
        <f>1/32</f>
        <v>3.125E-2</v>
      </c>
      <c r="G12" s="28">
        <f>MMULT(A18:E18,I11:I15)</f>
        <v>-6.716489722412831</v>
      </c>
      <c r="I12" s="28">
        <f>1-B8</f>
        <v>0.37092749999999997</v>
      </c>
    </row>
    <row r="13" spans="1:9" x14ac:dyDescent="0.2">
      <c r="A13" s="28">
        <v>1</v>
      </c>
      <c r="B13" s="28">
        <v>1</v>
      </c>
      <c r="C13" s="28">
        <v>0.75</v>
      </c>
      <c r="D13" s="28">
        <v>0.5</v>
      </c>
      <c r="E13" s="28">
        <f>5/16</f>
        <v>0.3125</v>
      </c>
      <c r="G13" s="28">
        <f>MMULT(A19:E19,I11:I15)</f>
        <v>17.400090261044113</v>
      </c>
      <c r="I13" s="28">
        <v>0</v>
      </c>
    </row>
    <row r="14" spans="1:9" x14ac:dyDescent="0.2">
      <c r="A14" s="28">
        <v>0.5</v>
      </c>
      <c r="B14" s="28">
        <f>1/3</f>
        <v>0.33333333333333331</v>
      </c>
      <c r="C14" s="28">
        <v>0.25</v>
      </c>
      <c r="D14" s="28">
        <v>0.2</v>
      </c>
      <c r="E14" s="28">
        <f>1/6</f>
        <v>0.16666666666666666</v>
      </c>
      <c r="G14" s="28">
        <f>MMULT(A20:E20,I11:I15)</f>
        <v>-22.119448330083785</v>
      </c>
      <c r="I14" s="28">
        <f>B5-B8</f>
        <v>0.14250683154521704</v>
      </c>
    </row>
    <row r="15" spans="1:9" x14ac:dyDescent="0.2">
      <c r="A15" s="28">
        <f>1/3</f>
        <v>0.33333333333333331</v>
      </c>
      <c r="B15" s="28">
        <v>0.25</v>
      </c>
      <c r="C15" s="28">
        <v>0.2</v>
      </c>
      <c r="D15" s="28">
        <f>1/6</f>
        <v>0.16666666666666666</v>
      </c>
      <c r="E15" s="28">
        <f>1/7</f>
        <v>0.14285714285714285</v>
      </c>
      <c r="G15" s="28">
        <f>MMULT(A21:E21,I11:I15)</f>
        <v>8.8445514178630731</v>
      </c>
      <c r="I15" s="28">
        <f>(0.5-B9/100)*B5-0.5*B8</f>
        <v>3.1902869863802474E-2</v>
      </c>
    </row>
    <row r="17" spans="1:17" x14ac:dyDescent="0.2">
      <c r="A17" s="28">
        <f t="array" ref="A17:E21">MINVERSE(Data)</f>
        <v>3.00000000000027</v>
      </c>
      <c r="B17" s="28">
        <v>-16.000000000000387</v>
      </c>
      <c r="C17" s="28">
        <v>2.6666666666669556</v>
      </c>
      <c r="D17" s="28">
        <v>100.00000000000455</v>
      </c>
      <c r="E17" s="28">
        <v>-140.00000000000841</v>
      </c>
    </row>
    <row r="18" spans="1:17" x14ac:dyDescent="0.2">
      <c r="A18" s="28">
        <v>-28.000000000001904</v>
      </c>
      <c r="B18" s="28">
        <v>96.000000000002629</v>
      </c>
      <c r="C18" s="28">
        <v>-26.666666666668391</v>
      </c>
      <c r="D18" s="28">
        <v>-640.00000000002933</v>
      </c>
      <c r="E18" s="28">
        <v>980.00000000005184</v>
      </c>
    </row>
    <row r="19" spans="1:17" x14ac:dyDescent="0.2">
      <c r="A19" s="28">
        <v>90.000000000004633</v>
      </c>
      <c r="B19" s="28">
        <v>-160.00000000000645</v>
      </c>
      <c r="C19" s="28">
        <v>80.00000000000405</v>
      </c>
      <c r="D19" s="28">
        <v>1500.0000000000703</v>
      </c>
      <c r="E19" s="28">
        <v>-2520.0000000001223</v>
      </c>
    </row>
    <row r="20" spans="1:17" x14ac:dyDescent="0.2">
      <c r="A20" s="28">
        <v>-120.0000000000048</v>
      </c>
      <c r="B20" s="28">
        <v>80.000000000006821</v>
      </c>
      <c r="C20" s="28">
        <v>-93.333333333337521</v>
      </c>
      <c r="D20" s="28">
        <v>-1520.000000000073</v>
      </c>
      <c r="E20" s="28">
        <v>2800.0000000001264</v>
      </c>
    </row>
    <row r="21" spans="1:17" x14ac:dyDescent="0.2">
      <c r="A21" s="28">
        <v>56.000000000001805</v>
      </c>
      <c r="B21" s="28">
        <v>-2.6112445539184789E-12</v>
      </c>
      <c r="C21" s="28">
        <v>37.333333333334906</v>
      </c>
      <c r="D21" s="28">
        <v>560.00000000002751</v>
      </c>
      <c r="E21" s="28">
        <v>-1120.0000000000475</v>
      </c>
    </row>
    <row r="23" spans="1:17" ht="15" x14ac:dyDescent="0.25">
      <c r="A23" s="28" t="s">
        <v>115</v>
      </c>
      <c r="B23" s="28" t="s">
        <v>118</v>
      </c>
      <c r="C23" s="28" t="s">
        <v>114</v>
      </c>
      <c r="D23" s="28" t="s">
        <v>119</v>
      </c>
      <c r="H23" s="59"/>
      <c r="I23" s="59"/>
      <c r="J23" s="57" t="s">
        <v>142</v>
      </c>
      <c r="K23"/>
      <c r="L23"/>
    </row>
    <row r="24" spans="1:17" ht="15" x14ac:dyDescent="0.25">
      <c r="A24" s="29">
        <v>0</v>
      </c>
      <c r="B24" s="42">
        <f t="shared" ref="B24:B44" si="0">$B$8+$G$11*A24+$G$12*A24^2+$G$13*A24^3+$G$14*A24^4+$G$15*A24^5</f>
        <v>0.62907250000000003</v>
      </c>
      <c r="C24" s="29">
        <f>A24*($B$2+'Cwl Opt1 Calcs'!$B$2)/2</f>
        <v>0</v>
      </c>
      <c r="D24" s="29">
        <f>B24*$B$4/2</f>
        <v>4.4660287061590669</v>
      </c>
      <c r="E24" s="42">
        <f t="shared" ref="E24:E44" si="1">-B24</f>
        <v>-0.62907250000000003</v>
      </c>
      <c r="F24" s="29">
        <f t="shared" ref="F24:F44" si="2">-D24</f>
        <v>-4.4660287061590669</v>
      </c>
      <c r="H24" s="36">
        <f>C24+('Profile Calcs'!$P$32-'Profile Calcs'!$P$33)/2</f>
        <v>0.53045365813530765</v>
      </c>
      <c r="J24" s="36">
        <f>H24/20</f>
        <v>2.6522682906765384E-2</v>
      </c>
      <c r="K24"/>
      <c r="L24" s="14">
        <f>('Mid Upr WL Opt2 Calcs'!C21+'Profile Calcs'!$P$32-'Profile Calcs'!$P$33)/'CWD Opt1 Calcs'!$B$4</f>
        <v>4.0014994080741573E-3</v>
      </c>
      <c r="M24" s="36">
        <f>B24/'CWD Opt1 Calcs'!$B$6*'Mid Upr WL Opt1 Calcs'!$B$4</f>
        <v>0.62907250000000003</v>
      </c>
      <c r="N24" s="39"/>
      <c r="O24" s="36">
        <f>20-C24/'Cwl Opt1 Calcs'!$B$2*20</f>
        <v>20</v>
      </c>
      <c r="P24"/>
      <c r="Q24" s="14"/>
    </row>
    <row r="25" spans="1:17" ht="15" x14ac:dyDescent="0.25">
      <c r="A25" s="29">
        <v>0.05</v>
      </c>
      <c r="B25" s="42">
        <f t="shared" si="0"/>
        <v>0.71243199802632484</v>
      </c>
      <c r="C25" s="29">
        <f>A25*($B$2+'Cwl Opt1 Calcs'!$B$2)/2</f>
        <v>6.4184581703652945</v>
      </c>
      <c r="D25" s="29">
        <f t="shared" ref="D25:D44" si="3">B25*$B$4/2</f>
        <v>5.057829986800928</v>
      </c>
      <c r="E25" s="42">
        <f t="shared" si="1"/>
        <v>-0.71243199802632484</v>
      </c>
      <c r="F25" s="29">
        <f t="shared" si="2"/>
        <v>-5.057829986800928</v>
      </c>
      <c r="H25" s="36">
        <f>C25+('Profile Calcs'!$P$32-'Profile Calcs'!$P$33)/2</f>
        <v>6.9489118285006022</v>
      </c>
      <c r="J25" s="36">
        <f t="shared" ref="J25:J44" si="4">H25/20</f>
        <v>0.34744559142503012</v>
      </c>
      <c r="K25"/>
      <c r="L25" s="14">
        <f>('Mid Upr WL Opt2 Calcs'!C22+'Profile Calcs'!$P$32-'Profile Calcs'!$P$33)/'CWD Opt1 Calcs'!$B$4</f>
        <v>5.285673210914834E-2</v>
      </c>
      <c r="M25" s="36">
        <f>B25/'CWD Opt1 Calcs'!$B$6*'Mid Upr WL Opt1 Calcs'!$B$4</f>
        <v>0.71243199802632484</v>
      </c>
      <c r="N25" s="39"/>
      <c r="O25" s="36">
        <f>20-C25/'Cwl Opt1 Calcs'!$B$2*20</f>
        <v>18.985172165526052</v>
      </c>
      <c r="P25"/>
      <c r="Q25" s="14"/>
    </row>
    <row r="26" spans="1:17" ht="15" x14ac:dyDescent="0.25">
      <c r="A26" s="29">
        <v>0.1</v>
      </c>
      <c r="B26" s="42">
        <f t="shared" si="0"/>
        <v>0.77340658107702864</v>
      </c>
      <c r="C26" s="29">
        <f>A26*($B$2+'Cwl Opt1 Calcs'!$B$2)/2</f>
        <v>12.836916340730589</v>
      </c>
      <c r="D26" s="29">
        <f t="shared" si="3"/>
        <v>5.4907121080993839</v>
      </c>
      <c r="E26" s="42">
        <f t="shared" si="1"/>
        <v>-0.77340658107702864</v>
      </c>
      <c r="F26" s="29">
        <f t="shared" si="2"/>
        <v>-5.4907121080993839</v>
      </c>
      <c r="H26" s="36">
        <f>C26+('Profile Calcs'!$P$32-'Profile Calcs'!$P$33)/2</f>
        <v>13.367369998865897</v>
      </c>
      <c r="J26" s="36">
        <f t="shared" si="4"/>
        <v>0.66836849994329484</v>
      </c>
      <c r="K26"/>
      <c r="L26" s="14">
        <f>('Mid Upr WL Opt2 Calcs'!C23+'Profile Calcs'!$P$32-'Profile Calcs'!$P$33)/'CWD Opt1 Calcs'!$B$4</f>
        <v>0.1017119648102224</v>
      </c>
      <c r="M26" s="36">
        <f>B26/'CWD Opt1 Calcs'!$B$6*'Mid Upr WL Opt1 Calcs'!$B$4</f>
        <v>0.77340658107702864</v>
      </c>
      <c r="N26" s="39"/>
      <c r="O26" s="36">
        <f>20-C26/'Cwl Opt1 Calcs'!$B$2*20</f>
        <v>17.9703443310521</v>
      </c>
      <c r="P26"/>
      <c r="Q26" s="14"/>
    </row>
    <row r="27" spans="1:17" ht="15" x14ac:dyDescent="0.25">
      <c r="A27" s="29">
        <v>0.15</v>
      </c>
      <c r="B27" s="42">
        <f t="shared" si="0"/>
        <v>0.82048402932133802</v>
      </c>
      <c r="C27" s="29">
        <f>A27*($B$2+'Cwl Opt1 Calcs'!$B$2)/2</f>
        <v>19.25537451109588</v>
      </c>
      <c r="D27" s="29">
        <f t="shared" si="3"/>
        <v>5.8249331005474776</v>
      </c>
      <c r="E27" s="42">
        <f t="shared" si="1"/>
        <v>-0.82048402932133802</v>
      </c>
      <c r="F27" s="29">
        <f t="shared" si="2"/>
        <v>-5.8249331005474776</v>
      </c>
      <c r="H27" s="36">
        <f>C27+('Profile Calcs'!$P$32-'Profile Calcs'!$P$33)/2</f>
        <v>19.785828169231188</v>
      </c>
      <c r="J27" s="36">
        <f t="shared" si="4"/>
        <v>0.98929140846155939</v>
      </c>
      <c r="K27"/>
      <c r="L27" s="14">
        <f>('Mid Upr WL Opt2 Calcs'!C24+'Profile Calcs'!$P$32-'Profile Calcs'!$P$33)/'CWD Opt1 Calcs'!$B$4</f>
        <v>0.15056719751129649</v>
      </c>
      <c r="M27" s="36">
        <f>B27/'CWD Opt1 Calcs'!$B$6*'Mid Upr WL Opt1 Calcs'!$B$4</f>
        <v>0.82048402932133802</v>
      </c>
      <c r="N27" s="39"/>
      <c r="O27" s="36">
        <f>20-C27/'Cwl Opt1 Calcs'!$B$2*20</f>
        <v>16.955516496578152</v>
      </c>
      <c r="P27"/>
      <c r="Q27" s="14"/>
    </row>
    <row r="28" spans="1:17" ht="15" x14ac:dyDescent="0.25">
      <c r="A28" s="29">
        <v>0.2</v>
      </c>
      <c r="B28" s="42">
        <f t="shared" si="0"/>
        <v>0.85949754703530679</v>
      </c>
      <c r="C28" s="29">
        <f>A28*($B$2+'Cwl Opt1 Calcs'!$B$2)/2</f>
        <v>25.673832681461178</v>
      </c>
      <c r="D28" s="29">
        <f t="shared" si="3"/>
        <v>6.1019051348341931</v>
      </c>
      <c r="E28" s="42">
        <f t="shared" si="1"/>
        <v>-0.85949754703530679</v>
      </c>
      <c r="F28" s="29">
        <f t="shared" si="2"/>
        <v>-6.1019051348341931</v>
      </c>
      <c r="H28" s="36">
        <f>C28+('Profile Calcs'!$P$32-'Profile Calcs'!$P$33)/2</f>
        <v>26.204286339596486</v>
      </c>
      <c r="J28" s="36">
        <f t="shared" si="4"/>
        <v>1.3102143169798244</v>
      </c>
      <c r="K28"/>
      <c r="L28" s="14">
        <f>('Mid Upr WL Opt2 Calcs'!C25+'Profile Calcs'!$P$32-'Profile Calcs'!$P$33)/'CWD Opt1 Calcs'!$B$4</f>
        <v>0.19942243021237066</v>
      </c>
      <c r="M28" s="36">
        <f>B28/'CWD Opt1 Calcs'!$B$6*'Mid Upr WL Opt1 Calcs'!$B$4</f>
        <v>0.85949754703530679</v>
      </c>
      <c r="N28" s="39"/>
      <c r="O28" s="36">
        <f>20-C28/'Cwl Opt1 Calcs'!$B$2*20</f>
        <v>15.940688662104201</v>
      </c>
      <c r="P28"/>
      <c r="Q28" s="14"/>
    </row>
    <row r="29" spans="1:17" ht="15" x14ac:dyDescent="0.25">
      <c r="A29" s="29">
        <v>0.25</v>
      </c>
      <c r="B29" s="42">
        <f t="shared" si="0"/>
        <v>0.89395743327998545</v>
      </c>
      <c r="C29" s="29">
        <f>A29*($B$2+'Cwl Opt1 Calcs'!$B$2)/2</f>
        <v>32.092290851826469</v>
      </c>
      <c r="D29" s="29">
        <f t="shared" si="3"/>
        <v>6.346549180122631</v>
      </c>
      <c r="E29" s="42">
        <f t="shared" si="1"/>
        <v>-0.89395743327998545</v>
      </c>
      <c r="F29" s="29">
        <f t="shared" si="2"/>
        <v>-6.346549180122631</v>
      </c>
      <c r="H29" s="36">
        <f>C29+('Profile Calcs'!$P$32-'Profile Calcs'!$P$33)/2</f>
        <v>32.622744509961777</v>
      </c>
      <c r="J29" s="36">
        <f t="shared" si="4"/>
        <v>1.6311372254980889</v>
      </c>
      <c r="K29"/>
      <c r="L29" s="14">
        <f>('Mid Upr WL Opt2 Calcs'!C26+'Profile Calcs'!$P$32-'Profile Calcs'!$P$33)/'CWD Opt1 Calcs'!$B$4</f>
        <v>0.24827766291344472</v>
      </c>
      <c r="M29" s="36">
        <f>B29/'CWD Opt1 Calcs'!$B$6*'Mid Upr WL Opt1 Calcs'!$B$4</f>
        <v>0.89395743327998545</v>
      </c>
      <c r="N29" s="39"/>
      <c r="O29" s="36">
        <f>20-C29/'Cwl Opt1 Calcs'!$B$2*20</f>
        <v>14.925860827630252</v>
      </c>
      <c r="P29"/>
      <c r="Q29" s="14"/>
    </row>
    <row r="30" spans="1:17" ht="15" x14ac:dyDescent="0.25">
      <c r="A30" s="29">
        <v>0.3</v>
      </c>
      <c r="B30" s="42">
        <f t="shared" si="0"/>
        <v>0.92538275257959235</v>
      </c>
      <c r="C30" s="29">
        <f>A30*($B$2+'Cwl Opt1 Calcs'!$B$2)/2</f>
        <v>38.51074902219176</v>
      </c>
      <c r="D30" s="29">
        <f t="shared" si="3"/>
        <v>6.5696496623281941</v>
      </c>
      <c r="E30" s="42">
        <f t="shared" si="1"/>
        <v>-0.92538275257959235</v>
      </c>
      <c r="F30" s="29">
        <f t="shared" si="2"/>
        <v>-6.5696496623281941</v>
      </c>
      <c r="H30" s="36">
        <f>C30+('Profile Calcs'!$P$32-'Profile Calcs'!$P$33)/2</f>
        <v>39.041202680327068</v>
      </c>
      <c r="J30" s="36">
        <f t="shared" si="4"/>
        <v>1.9520601340163535</v>
      </c>
      <c r="K30"/>
      <c r="L30" s="14">
        <f>('Mid Upr WL Opt2 Calcs'!C27+'Profile Calcs'!$P$32-'Profile Calcs'!$P$33)/'CWD Opt1 Calcs'!$B$4</f>
        <v>0.29713289561451878</v>
      </c>
      <c r="M30" s="36">
        <f>B30/'CWD Opt1 Calcs'!$B$6*'Mid Upr WL Opt1 Calcs'!$B$4</f>
        <v>0.92538275257959235</v>
      </c>
      <c r="N30" s="39"/>
      <c r="O30" s="36">
        <f>20-C30/'Cwl Opt1 Calcs'!$B$2*20</f>
        <v>13.911032993156303</v>
      </c>
      <c r="P30"/>
      <c r="Q30" s="14"/>
    </row>
    <row r="31" spans="1:17" ht="15" x14ac:dyDescent="0.25">
      <c r="A31" s="29">
        <v>0.35</v>
      </c>
      <c r="B31" s="42">
        <f t="shared" si="0"/>
        <v>0.95363300559968089</v>
      </c>
      <c r="C31" s="29">
        <f>A31*($B$2+'Cwl Opt1 Calcs'!$B$2)/2</f>
        <v>44.929207192557051</v>
      </c>
      <c r="D31" s="29">
        <f t="shared" si="3"/>
        <v>6.7702091223967429</v>
      </c>
      <c r="E31" s="42">
        <f t="shared" si="1"/>
        <v>-0.95363300559968089</v>
      </c>
      <c r="F31" s="29">
        <f t="shared" si="2"/>
        <v>-6.7702091223967429</v>
      </c>
      <c r="H31" s="36">
        <f>C31+('Profile Calcs'!$P$32-'Profile Calcs'!$P$33)/2</f>
        <v>45.459660850692359</v>
      </c>
      <c r="J31" s="36">
        <f t="shared" si="4"/>
        <v>2.272983042534618</v>
      </c>
      <c r="K31"/>
      <c r="L31" s="14">
        <f>('Mid Upr WL Opt2 Calcs'!C28+'Profile Calcs'!$P$32-'Profile Calcs'!$P$33)/'CWD Opt1 Calcs'!$B$4</f>
        <v>0.34598812831559289</v>
      </c>
      <c r="M31" s="36">
        <f>B31/'CWD Opt1 Calcs'!$B$6*'Mid Upr WL Opt1 Calcs'!$B$4</f>
        <v>0.95363300559968089</v>
      </c>
      <c r="N31" s="39"/>
      <c r="O31" s="36">
        <f>20-C31/'Cwl Opt1 Calcs'!$B$2*20</f>
        <v>12.896205158682353</v>
      </c>
      <c r="P31"/>
      <c r="Q31" s="14"/>
    </row>
    <row r="32" spans="1:17" ht="15" x14ac:dyDescent="0.25">
      <c r="A32" s="29">
        <v>0.4</v>
      </c>
      <c r="B32" s="42">
        <f t="shared" si="0"/>
        <v>0.97723979982531295</v>
      </c>
      <c r="C32" s="29">
        <f>A32*($B$2+'Cwl Opt1 Calcs'!$B$2)/2</f>
        <v>51.347665362922356</v>
      </c>
      <c r="D32" s="29">
        <f t="shared" si="3"/>
        <v>6.9378028745827995</v>
      </c>
      <c r="E32" s="42">
        <f t="shared" si="1"/>
        <v>-0.97723979982531295</v>
      </c>
      <c r="F32" s="29">
        <f t="shared" si="2"/>
        <v>-6.9378028745827995</v>
      </c>
      <c r="H32" s="36">
        <f>C32+('Profile Calcs'!$P$32-'Profile Calcs'!$P$33)/2</f>
        <v>51.878119021057664</v>
      </c>
      <c r="J32" s="36">
        <f t="shared" si="4"/>
        <v>2.593905951052883</v>
      </c>
      <c r="K32"/>
      <c r="L32" s="14">
        <f>('Mid Upr WL Opt2 Calcs'!C29+'Profile Calcs'!$P$32-'Profile Calcs'!$P$33)/'CWD Opt1 Calcs'!$B$4</f>
        <v>0.39484336101666706</v>
      </c>
      <c r="M32" s="36">
        <f>B32/'CWD Opt1 Calcs'!$B$6*'Mid Upr WL Opt1 Calcs'!$B$4</f>
        <v>0.97723979982531295</v>
      </c>
      <c r="N32" s="39"/>
      <c r="O32" s="36">
        <f>20-C32/'Cwl Opt1 Calcs'!$B$2*20</f>
        <v>11.881377324208401</v>
      </c>
      <c r="P32"/>
      <c r="Q32" s="14"/>
    </row>
    <row r="33" spans="1:17" ht="15" x14ac:dyDescent="0.25">
      <c r="A33" s="29">
        <v>0.45</v>
      </c>
      <c r="B33" s="42">
        <f t="shared" si="0"/>
        <v>0.99373852023922604</v>
      </c>
      <c r="C33" s="29">
        <f>A33*($B$2+'Cwl Opt1 Calcs'!$B$2)/2</f>
        <v>57.766123533287647</v>
      </c>
      <c r="D33" s="29">
        <f t="shared" si="3"/>
        <v>7.0549336647277006</v>
      </c>
      <c r="E33" s="42">
        <f t="shared" si="1"/>
        <v>-0.99373852023922604</v>
      </c>
      <c r="F33" s="29">
        <f t="shared" si="2"/>
        <v>-7.0549336647277006</v>
      </c>
      <c r="H33" s="36">
        <f>C33+('Profile Calcs'!$P$32-'Profile Calcs'!$P$33)/2</f>
        <v>58.296577191422955</v>
      </c>
      <c r="J33" s="36">
        <f t="shared" si="4"/>
        <v>2.9148288595711476</v>
      </c>
      <c r="K33"/>
      <c r="L33" s="14">
        <f>('Mid Upr WL Opt2 Calcs'!C30+'Profile Calcs'!$P$32-'Profile Calcs'!$P$33)/'CWD Opt1 Calcs'!$B$4</f>
        <v>0.44369859371774123</v>
      </c>
      <c r="M33" s="36">
        <f>B33/'CWD Opt1 Calcs'!$B$6*'Mid Upr WL Opt1 Calcs'!$B$4</f>
        <v>0.99373852023922604</v>
      </c>
      <c r="N33" s="39"/>
      <c r="O33" s="36">
        <f>20-C33/'Cwl Opt1 Calcs'!$B$2*20</f>
        <v>10.866549489734453</v>
      </c>
      <c r="P33"/>
      <c r="Q33" s="14"/>
    </row>
    <row r="34" spans="1:17" ht="15" x14ac:dyDescent="0.25">
      <c r="A34" s="29">
        <v>0.5</v>
      </c>
      <c r="B34" s="42">
        <f t="shared" si="0"/>
        <v>1.0000000000000031</v>
      </c>
      <c r="C34" s="29">
        <f>A34*($B$2+'Cwl Opt1 Calcs'!$B$2)/2</f>
        <v>64.184581703652938</v>
      </c>
      <c r="D34" s="29">
        <f t="shared" si="3"/>
        <v>7.0993863285377774</v>
      </c>
      <c r="E34" s="42">
        <f t="shared" si="1"/>
        <v>-1.0000000000000031</v>
      </c>
      <c r="F34" s="29">
        <f t="shared" si="2"/>
        <v>-7.0993863285377774</v>
      </c>
      <c r="H34" s="36">
        <f>C34+('Profile Calcs'!$P$32-'Profile Calcs'!$P$33)/2</f>
        <v>64.715035361788239</v>
      </c>
      <c r="J34" s="36">
        <f t="shared" si="4"/>
        <v>3.2357517680894121</v>
      </c>
      <c r="K34"/>
      <c r="L34" s="14">
        <f>('Mid Upr WL Opt2 Calcs'!C31+'Profile Calcs'!$P$32-'Profile Calcs'!$P$33)/'CWD Opt1 Calcs'!$B$4</f>
        <v>0.49255382641881529</v>
      </c>
      <c r="M34" s="36">
        <f>B34/'CWD Opt1 Calcs'!$B$6*'Mid Upr WL Opt1 Calcs'!$B$4</f>
        <v>1.0000000000000031</v>
      </c>
      <c r="N34" s="39"/>
      <c r="O34" s="36">
        <f>20-C34/'Cwl Opt1 Calcs'!$B$2*20</f>
        <v>9.8517216552605031</v>
      </c>
      <c r="P34"/>
      <c r="Q34" s="14"/>
    </row>
    <row r="35" spans="1:17" ht="15" x14ac:dyDescent="0.25">
      <c r="A35" s="29">
        <v>0.55000000000000004</v>
      </c>
      <c r="B35" s="42">
        <f t="shared" si="0"/>
        <v>0.99256219112024557</v>
      </c>
      <c r="C35" s="29">
        <f>A35*($B$2+'Cwl Opt1 Calcs'!$B$2)/2</f>
        <v>70.603039874018236</v>
      </c>
      <c r="D35" s="29">
        <f t="shared" si="3"/>
        <v>7.0465824498625498</v>
      </c>
      <c r="E35" s="42">
        <f t="shared" si="1"/>
        <v>-0.99256219112024557</v>
      </c>
      <c r="F35" s="29">
        <f t="shared" si="2"/>
        <v>-7.0465824498625498</v>
      </c>
      <c r="H35" s="36">
        <f>C35+('Profile Calcs'!$P$32-'Profile Calcs'!$P$33)/2</f>
        <v>71.133493532153551</v>
      </c>
      <c r="J35" s="36">
        <f t="shared" si="4"/>
        <v>3.5566746766076776</v>
      </c>
      <c r="K35"/>
      <c r="L35" s="14">
        <f>('Mid Upr WL Opt2 Calcs'!C32+'Profile Calcs'!$P$32-'Profile Calcs'!$P$33)/'CWD Opt1 Calcs'!$B$4</f>
        <v>0.54140905911988935</v>
      </c>
      <c r="M35" s="36">
        <f>B35/'CWD Opt1 Calcs'!$B$6*'Mid Upr WL Opt1 Calcs'!$B$4</f>
        <v>0.99256219112024546</v>
      </c>
      <c r="N35" s="39"/>
      <c r="O35" s="36">
        <f>20-C35/'Cwl Opt1 Calcs'!$B$2*20</f>
        <v>8.8368938207865533</v>
      </c>
      <c r="P35"/>
      <c r="Q35" s="14"/>
    </row>
    <row r="36" spans="1:17" ht="15" x14ac:dyDescent="0.25">
      <c r="A36" s="29">
        <v>0.6</v>
      </c>
      <c r="B36" s="42">
        <f t="shared" si="0"/>
        <v>0.9679618351447381</v>
      </c>
      <c r="C36" s="29">
        <f>A36*($B$2+'Cwl Opt1 Calcs'!$B$2)/2</f>
        <v>77.02149804438352</v>
      </c>
      <c r="D36" s="29">
        <f t="shared" si="3"/>
        <v>6.8719350189728701</v>
      </c>
      <c r="E36" s="42">
        <f t="shared" si="1"/>
        <v>-0.9679618351447381</v>
      </c>
      <c r="F36" s="29">
        <f t="shared" si="2"/>
        <v>-6.8719350189728701</v>
      </c>
      <c r="H36" s="36">
        <f>C36+('Profile Calcs'!$P$32-'Profile Calcs'!$P$33)/2</f>
        <v>77.551951702518835</v>
      </c>
      <c r="J36" s="36">
        <f t="shared" si="4"/>
        <v>3.8775975851259417</v>
      </c>
      <c r="K36"/>
      <c r="L36" s="14">
        <f>('Mid Upr WL Opt2 Calcs'!C33+'Profile Calcs'!$P$32-'Profile Calcs'!$P$33)/'CWD Opt1 Calcs'!$B$4</f>
        <v>0.5902642918209634</v>
      </c>
      <c r="M36" s="36">
        <f>B36/'CWD Opt1 Calcs'!$B$6*'Mid Upr WL Opt1 Calcs'!$B$4</f>
        <v>0.9679618351447381</v>
      </c>
      <c r="N36" s="39"/>
      <c r="O36" s="36">
        <f>20-C36/'Cwl Opt1 Calcs'!$B$2*20</f>
        <v>7.8220659863126052</v>
      </c>
      <c r="P36"/>
      <c r="Q36" s="14"/>
    </row>
    <row r="37" spans="1:17" ht="15" x14ac:dyDescent="0.25">
      <c r="A37" s="29">
        <v>0.65</v>
      </c>
      <c r="B37" s="42">
        <f t="shared" si="0"/>
        <v>0.92306613382862457</v>
      </c>
      <c r="C37" s="29">
        <f>A37*($B$2+'Cwl Opt1 Calcs'!$B$2)/2</f>
        <v>83.439956214748818</v>
      </c>
      <c r="D37" s="29">
        <f t="shared" si="3"/>
        <v>6.5532030908391388</v>
      </c>
      <c r="E37" s="42">
        <f t="shared" si="1"/>
        <v>-0.92306613382862457</v>
      </c>
      <c r="F37" s="29">
        <f t="shared" si="2"/>
        <v>-6.5532030908391388</v>
      </c>
      <c r="H37" s="36">
        <f>C37+('Profile Calcs'!$P$32-'Profile Calcs'!$P$33)/2</f>
        <v>83.970409872884119</v>
      </c>
      <c r="J37" s="36">
        <f t="shared" si="4"/>
        <v>4.1985204936442058</v>
      </c>
      <c r="K37"/>
      <c r="L37" s="14">
        <f>('Mid Upr WL Opt2 Calcs'!C34+'Profile Calcs'!$P$32-'Profile Calcs'!$P$33)/'CWD Opt1 Calcs'!$B$4</f>
        <v>0.63911952452203757</v>
      </c>
      <c r="M37" s="36">
        <f>B37/'CWD Opt1 Calcs'!$B$6*'Mid Upr WL Opt1 Calcs'!$B$4</f>
        <v>0.92306613382862446</v>
      </c>
      <c r="N37" s="39"/>
      <c r="O37" s="36">
        <f>20-C37/'Cwl Opt1 Calcs'!$B$2*20</f>
        <v>6.8072381518386553</v>
      </c>
      <c r="P37"/>
      <c r="Q37" s="14"/>
    </row>
    <row r="38" spans="1:17" ht="15" x14ac:dyDescent="0.25">
      <c r="A38" s="29">
        <v>0.7</v>
      </c>
      <c r="B38" s="42">
        <f t="shared" si="0"/>
        <v>0.85540441981557058</v>
      </c>
      <c r="C38" s="29">
        <f>A38*($B$2+'Cwl Opt1 Calcs'!$B$2)/2</f>
        <v>89.858414385114102</v>
      </c>
      <c r="D38" s="29">
        <f t="shared" si="3"/>
        <v>6.072846443409432</v>
      </c>
      <c r="E38" s="42">
        <f t="shared" si="1"/>
        <v>-0.85540441981557058</v>
      </c>
      <c r="F38" s="29">
        <f t="shared" si="2"/>
        <v>-6.072846443409432</v>
      </c>
      <c r="H38" s="36">
        <f>C38+('Profile Calcs'!$P$32-'Profile Calcs'!$P$33)/2</f>
        <v>90.388868043249403</v>
      </c>
      <c r="J38" s="36">
        <f t="shared" si="4"/>
        <v>4.5194434021624703</v>
      </c>
      <c r="K38"/>
      <c r="L38" s="14">
        <f>('Mid Upr WL Opt2 Calcs'!C35+'Profile Calcs'!$P$32-'Profile Calcs'!$P$33)/'CWD Opt1 Calcs'!$B$4</f>
        <v>0.68797475722311163</v>
      </c>
      <c r="M38" s="36">
        <f>B38/'CWD Opt1 Calcs'!$B$6*'Mid Upr WL Opt1 Calcs'!$B$4</f>
        <v>0.85540441981557058</v>
      </c>
      <c r="N38" s="39"/>
      <c r="O38" s="36">
        <f>20-C38/'Cwl Opt1 Calcs'!$B$2*20</f>
        <v>5.7924103173647072</v>
      </c>
      <c r="P38"/>
      <c r="Q38" s="14"/>
    </row>
    <row r="39" spans="1:17" ht="15" x14ac:dyDescent="0.25">
      <c r="A39" s="29">
        <v>0.75</v>
      </c>
      <c r="B39" s="42">
        <f t="shared" si="0"/>
        <v>0.76349982731594235</v>
      </c>
      <c r="C39" s="29">
        <f>A39*($B$2+'Cwl Opt1 Calcs'!$B$2)/2</f>
        <v>96.2768725554794</v>
      </c>
      <c r="D39" s="29">
        <f t="shared" si="3"/>
        <v>5.4203802358877384</v>
      </c>
      <c r="E39" s="42">
        <f t="shared" si="1"/>
        <v>-0.76349982731594235</v>
      </c>
      <c r="F39" s="29">
        <f t="shared" si="2"/>
        <v>-5.4203802358877384</v>
      </c>
      <c r="H39" s="36">
        <f>C39+('Profile Calcs'!$P$32-'Profile Calcs'!$P$33)/2</f>
        <v>96.807326213614715</v>
      </c>
      <c r="J39" s="36">
        <f t="shared" si="4"/>
        <v>4.8403663106807358</v>
      </c>
      <c r="K39"/>
      <c r="L39" s="14">
        <f>('Mid Upr WL Opt2 Calcs'!C36+'Profile Calcs'!$P$32-'Profile Calcs'!$P$33)/'CWD Opt1 Calcs'!$B$4</f>
        <v>0.73682998992418569</v>
      </c>
      <c r="M39" s="36">
        <f>B39/'CWD Opt1 Calcs'!$B$6*'Mid Upr WL Opt1 Calcs'!$B$4</f>
        <v>0.76349982731594235</v>
      </c>
      <c r="N39" s="39"/>
      <c r="O39" s="36">
        <f>20-C39/'Cwl Opt1 Calcs'!$B$2*20</f>
        <v>4.7775824828907574</v>
      </c>
      <c r="P39"/>
      <c r="Q39" s="14"/>
    </row>
    <row r="40" spans="1:17" ht="15" x14ac:dyDescent="0.25">
      <c r="A40" s="29">
        <v>0.8</v>
      </c>
      <c r="B40" s="42">
        <f t="shared" si="0"/>
        <v>0.64720096278496708</v>
      </c>
      <c r="C40" s="29">
        <f>A40*($B$2+'Cwl Opt1 Calcs'!$B$2)/2</f>
        <v>102.69533072584471</v>
      </c>
      <c r="D40" s="29">
        <f t="shared" si="3"/>
        <v>4.5947296670120679</v>
      </c>
      <c r="E40" s="42">
        <f t="shared" si="1"/>
        <v>-0.64720096278496708</v>
      </c>
      <c r="F40" s="29">
        <f t="shared" si="2"/>
        <v>-4.5947296670120679</v>
      </c>
      <c r="H40" s="36">
        <f>C40+('Profile Calcs'!$P$32-'Profile Calcs'!$P$33)/2</f>
        <v>103.22578438398003</v>
      </c>
      <c r="J40" s="36">
        <f t="shared" si="4"/>
        <v>5.1612892191990012</v>
      </c>
      <c r="K40"/>
      <c r="L40" s="14">
        <f>('Mid Upr WL Opt2 Calcs'!C37+'Profile Calcs'!$P$32-'Profile Calcs'!$P$33)/'CWD Opt1 Calcs'!$B$4</f>
        <v>0.78568522262525997</v>
      </c>
      <c r="M40" s="36">
        <f>B40/'CWD Opt1 Calcs'!$B$6*'Mid Upr WL Opt1 Calcs'!$B$4</f>
        <v>0.64720096278496708</v>
      </c>
      <c r="N40" s="39"/>
      <c r="O40" s="36">
        <f>20-C40/'Cwl Opt1 Calcs'!$B$2*20</f>
        <v>3.7627546484168022</v>
      </c>
      <c r="P40"/>
      <c r="Q40" s="14"/>
    </row>
    <row r="41" spans="1:17" ht="15" x14ac:dyDescent="0.25">
      <c r="A41" s="29">
        <v>0.85</v>
      </c>
      <c r="B41" s="42">
        <f t="shared" si="0"/>
        <v>0.50801357560091187</v>
      </c>
      <c r="C41" s="29">
        <f>A41*($B$2+'Cwl Opt1 Calcs'!$B$2)/2</f>
        <v>109.11378889621</v>
      </c>
      <c r="D41" s="29">
        <f t="shared" si="3"/>
        <v>3.606584633332695</v>
      </c>
      <c r="E41" s="42">
        <f t="shared" si="1"/>
        <v>-0.50801357560091187</v>
      </c>
      <c r="F41" s="29">
        <f t="shared" si="2"/>
        <v>-3.606584633332695</v>
      </c>
      <c r="H41" s="36">
        <f>C41+('Profile Calcs'!$P$32-'Profile Calcs'!$P$33)/2</f>
        <v>109.64424255434531</v>
      </c>
      <c r="J41" s="36">
        <f t="shared" si="4"/>
        <v>5.4822121277172657</v>
      </c>
      <c r="K41"/>
      <c r="L41" s="14">
        <f>('Mid Upr WL Opt2 Calcs'!C38+'Profile Calcs'!$P$32-'Profile Calcs'!$P$33)/'CWD Opt1 Calcs'!$B$4</f>
        <v>0.83454045532633403</v>
      </c>
      <c r="M41" s="36">
        <f>B41/'CWD Opt1 Calcs'!$B$6*'Mid Upr WL Opt1 Calcs'!$B$4</f>
        <v>0.50801357560091187</v>
      </c>
      <c r="N41" s="39"/>
      <c r="O41" s="36">
        <f>20-C41/'Cwl Opt1 Calcs'!$B$2*20</f>
        <v>2.7479268139428541</v>
      </c>
      <c r="P41"/>
      <c r="Q41" s="14"/>
    </row>
    <row r="42" spans="1:17" ht="15" x14ac:dyDescent="0.25">
      <c r="A42" s="29">
        <v>0.9</v>
      </c>
      <c r="B42" s="42">
        <f t="shared" si="0"/>
        <v>0.34943222874324409</v>
      </c>
      <c r="C42" s="29">
        <f>A42*($B$2+'Cwl Opt1 Calcs'!$B$2)/2</f>
        <v>115.53224706657529</v>
      </c>
      <c r="D42" s="29">
        <f t="shared" si="3"/>
        <v>2.4807543874902649</v>
      </c>
      <c r="E42" s="42">
        <f t="shared" si="1"/>
        <v>-0.34943222874324409</v>
      </c>
      <c r="F42" s="29">
        <f t="shared" si="2"/>
        <v>-2.4807543874902649</v>
      </c>
      <c r="H42" s="36">
        <f>C42+('Profile Calcs'!$P$32-'Profile Calcs'!$P$33)/2</f>
        <v>116.0627007247106</v>
      </c>
      <c r="J42" s="36">
        <f t="shared" si="4"/>
        <v>5.8031350362355294</v>
      </c>
      <c r="K42"/>
      <c r="L42" s="14">
        <f>('Mid Upr WL Opt2 Calcs'!C39+'Profile Calcs'!$P$32-'Profile Calcs'!$P$33)/'CWD Opt1 Calcs'!$B$4</f>
        <v>0.88339568802740809</v>
      </c>
      <c r="M42" s="36">
        <f>B42/'CWD Opt1 Calcs'!$B$6*'Mid Upr WL Opt1 Calcs'!$B$4</f>
        <v>0.34943222874324409</v>
      </c>
      <c r="N42" s="39"/>
      <c r="O42" s="36">
        <f>20-C42/'Cwl Opt1 Calcs'!$B$2*20</f>
        <v>1.733098979468906</v>
      </c>
      <c r="P42"/>
      <c r="Q42" s="14"/>
    </row>
    <row r="43" spans="1:17" ht="15" x14ac:dyDescent="0.25">
      <c r="A43" s="29">
        <v>0.95</v>
      </c>
      <c r="B43" s="42">
        <f t="shared" si="0"/>
        <v>0.17727196947080603</v>
      </c>
      <c r="C43" s="29">
        <f>A43*($B$2+'Cwl Opt1 Calcs'!$B$2)/2</f>
        <v>121.95070523694058</v>
      </c>
      <c r="D43" s="29">
        <f t="shared" si="3"/>
        <v>1.2585221964940028</v>
      </c>
      <c r="E43" s="42">
        <f t="shared" si="1"/>
        <v>-0.17727196947080603</v>
      </c>
      <c r="F43" s="29">
        <f t="shared" si="2"/>
        <v>-1.2585221964940028</v>
      </c>
      <c r="H43" s="36">
        <f>C43+('Profile Calcs'!$P$32-'Profile Calcs'!$P$33)/2</f>
        <v>122.48115889507588</v>
      </c>
      <c r="J43" s="36">
        <f t="shared" si="4"/>
        <v>6.1240579447537939</v>
      </c>
      <c r="K43"/>
      <c r="L43" s="14">
        <f>('Mid Upr WL Opt2 Calcs'!C40+'Profile Calcs'!$P$32-'Profile Calcs'!$P$33)/'CWD Opt1 Calcs'!$B$4</f>
        <v>0.93225092072848215</v>
      </c>
      <c r="M43" s="36">
        <f>B43/'CWD Opt1 Calcs'!$B$6*'Mid Upr WL Opt1 Calcs'!$B$4</f>
        <v>0.17727196947080603</v>
      </c>
      <c r="N43" s="39"/>
      <c r="O43" s="36">
        <f>20-C43/'Cwl Opt1 Calcs'!$B$2*20</f>
        <v>0.71827114499495792</v>
      </c>
      <c r="P43"/>
      <c r="Q43" s="14"/>
    </row>
    <row r="44" spans="1:17" ht="15" x14ac:dyDescent="0.25">
      <c r="A44" s="29">
        <v>1</v>
      </c>
      <c r="B44" s="42">
        <f t="shared" si="0"/>
        <v>0</v>
      </c>
      <c r="C44" s="29">
        <f>A44*($B$2+'Cwl Opt1 Calcs'!$B$2)/2</f>
        <v>128.36916340730588</v>
      </c>
      <c r="D44" s="29">
        <f t="shared" si="3"/>
        <v>0</v>
      </c>
      <c r="E44" s="42">
        <f t="shared" si="1"/>
        <v>0</v>
      </c>
      <c r="F44" s="29">
        <f t="shared" si="2"/>
        <v>0</v>
      </c>
      <c r="H44" s="36">
        <f>C44+('Profile Calcs'!$P$32-'Profile Calcs'!$P$33)/2</f>
        <v>128.89961706544119</v>
      </c>
      <c r="J44" s="36">
        <f t="shared" si="4"/>
        <v>6.4449808532720594</v>
      </c>
      <c r="K44"/>
      <c r="L44" s="14">
        <f>('Mid Upr WL Opt2 Calcs'!C41+'Profile Calcs'!$P$32-'Profile Calcs'!$P$33)/'CWD Opt1 Calcs'!$B$4</f>
        <v>0.98110615342955632</v>
      </c>
      <c r="M44" s="36">
        <f>B44/'CWD Opt1 Calcs'!$B$6*'Mid Upr WL Opt1 Calcs'!$B$4</f>
        <v>0</v>
      </c>
      <c r="N44" s="39"/>
      <c r="O44" s="36">
        <f>20-C44/'Cwl Opt1 Calcs'!$B$2*20</f>
        <v>-0.29655668947899372</v>
      </c>
      <c r="P44"/>
      <c r="Q44" s="14"/>
    </row>
    <row r="45" spans="1:17" x14ac:dyDescent="0.2">
      <c r="M45" s="36"/>
    </row>
    <row r="46" spans="1:17" x14ac:dyDescent="0.2">
      <c r="A46" s="28" t="s">
        <v>9</v>
      </c>
      <c r="C46" s="28">
        <f>ATAN((D43-D44)/(C43-C44))</f>
        <v>-0.19362214088067436</v>
      </c>
      <c r="D46" s="28">
        <f>DEGREES(C46)</f>
        <v>-11.093731492750081</v>
      </c>
    </row>
    <row r="47" spans="1:17" x14ac:dyDescent="0.2">
      <c r="A47" s="29"/>
      <c r="B47" s="42"/>
      <c r="D47" s="29"/>
    </row>
    <row r="48" spans="1:17" x14ac:dyDescent="0.2">
      <c r="A48" s="29"/>
      <c r="B48" s="42"/>
      <c r="D48" s="29"/>
    </row>
    <row r="49" spans="1:4" x14ac:dyDescent="0.2">
      <c r="A49" s="29"/>
      <c r="B49" s="42"/>
      <c r="D49" s="29"/>
    </row>
    <row r="50" spans="1:4" x14ac:dyDescent="0.2">
      <c r="A50" s="29"/>
      <c r="B50" s="42"/>
      <c r="D50" s="29"/>
    </row>
    <row r="51" spans="1:4" x14ac:dyDescent="0.2">
      <c r="A51" s="29"/>
      <c r="B51" s="42"/>
      <c r="D51" s="29"/>
    </row>
    <row r="52" spans="1:4" x14ac:dyDescent="0.2">
      <c r="A52" s="29"/>
      <c r="B52" s="42"/>
      <c r="D52" s="29"/>
    </row>
    <row r="53" spans="1:4" x14ac:dyDescent="0.2">
      <c r="A53" s="29"/>
      <c r="B53" s="42"/>
      <c r="D53" s="29"/>
    </row>
    <row r="54" spans="1:4" x14ac:dyDescent="0.2">
      <c r="A54" s="29"/>
      <c r="B54" s="42"/>
      <c r="D54" s="29"/>
    </row>
    <row r="55" spans="1:4" x14ac:dyDescent="0.2">
      <c r="A55" s="29"/>
      <c r="B55" s="42"/>
      <c r="D55" s="29"/>
    </row>
    <row r="56" spans="1:4" x14ac:dyDescent="0.2">
      <c r="A56" s="29"/>
      <c r="B56" s="42"/>
      <c r="D56" s="29"/>
    </row>
    <row r="57" spans="1:4" x14ac:dyDescent="0.2">
      <c r="A57" s="29"/>
      <c r="B57" s="42"/>
      <c r="D57" s="29"/>
    </row>
    <row r="58" spans="1:4" x14ac:dyDescent="0.2">
      <c r="A58" s="29"/>
      <c r="B58" s="42"/>
      <c r="D58" s="29"/>
    </row>
    <row r="59" spans="1:4" x14ac:dyDescent="0.2">
      <c r="A59" s="29"/>
      <c r="B59" s="42"/>
      <c r="D59" s="29"/>
    </row>
    <row r="60" spans="1:4" x14ac:dyDescent="0.2">
      <c r="A60" s="29"/>
      <c r="B60" s="42"/>
      <c r="D60" s="29"/>
    </row>
    <row r="61" spans="1:4" x14ac:dyDescent="0.2">
      <c r="A61" s="29"/>
      <c r="B61" s="42"/>
      <c r="D61" s="29"/>
    </row>
    <row r="62" spans="1:4" x14ac:dyDescent="0.2">
      <c r="A62" s="29"/>
      <c r="B62" s="42"/>
      <c r="D62" s="29"/>
    </row>
    <row r="63" spans="1:4" x14ac:dyDescent="0.2">
      <c r="A63" s="29"/>
      <c r="B63" s="42"/>
      <c r="D63" s="29"/>
    </row>
    <row r="64" spans="1:4" x14ac:dyDescent="0.2">
      <c r="A64" s="29"/>
      <c r="B64" s="42"/>
      <c r="D64" s="29"/>
    </row>
    <row r="65" spans="1:4" x14ac:dyDescent="0.2">
      <c r="A65" s="29"/>
      <c r="B65" s="42"/>
      <c r="D65" s="29"/>
    </row>
    <row r="66" spans="1:4" x14ac:dyDescent="0.2">
      <c r="A66" s="29"/>
      <c r="B66" s="42"/>
      <c r="D66" s="29"/>
    </row>
    <row r="67" spans="1:4" x14ac:dyDescent="0.2">
      <c r="A67" s="29"/>
      <c r="B67" s="42"/>
      <c r="D67" s="29"/>
    </row>
    <row r="68" spans="1:4" x14ac:dyDescent="0.2">
      <c r="A68" s="29"/>
      <c r="B68" s="29"/>
    </row>
    <row r="69" spans="1:4" x14ac:dyDescent="0.2">
      <c r="A69" s="29"/>
      <c r="B69" s="29"/>
    </row>
    <row r="70" spans="1:4" x14ac:dyDescent="0.2">
      <c r="A70" s="29"/>
      <c r="B70" s="29"/>
    </row>
    <row r="71" spans="1:4" x14ac:dyDescent="0.2">
      <c r="A71" s="29"/>
      <c r="B71" s="29"/>
    </row>
    <row r="72" spans="1:4" x14ac:dyDescent="0.2">
      <c r="A72" s="29"/>
      <c r="B72" s="29"/>
    </row>
    <row r="73" spans="1:4" x14ac:dyDescent="0.2">
      <c r="A73" s="29"/>
      <c r="B73" s="29"/>
    </row>
    <row r="74" spans="1:4" x14ac:dyDescent="0.2">
      <c r="A74" s="29"/>
      <c r="B74" s="29"/>
    </row>
    <row r="75" spans="1:4" x14ac:dyDescent="0.2">
      <c r="A75" s="29"/>
      <c r="B75" s="29"/>
    </row>
    <row r="76" spans="1:4" x14ac:dyDescent="0.2">
      <c r="A76" s="29"/>
      <c r="B76" s="29"/>
    </row>
    <row r="77" spans="1:4" x14ac:dyDescent="0.2">
      <c r="A77" s="29"/>
      <c r="B77" s="29"/>
    </row>
  </sheetData>
  <phoneticPr fontId="12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1" x14ac:dyDescent="0.25">
      <c r="A1" t="s">
        <v>126</v>
      </c>
    </row>
    <row r="2" spans="1:11" x14ac:dyDescent="0.25">
      <c r="A2" t="s">
        <v>138</v>
      </c>
      <c r="B2">
        <f>-IF(CMUpr!G46="",CMUpr!E46,CMUpr!G46)</f>
        <v>-11.093731492750081</v>
      </c>
      <c r="D2" t="s">
        <v>145</v>
      </c>
      <c r="E2">
        <f>CMUpr!D35/COS(B2*PI()/180)</f>
        <v>128.90224138248027</v>
      </c>
      <c r="G2" t="s">
        <v>26</v>
      </c>
      <c r="H2">
        <f>CMUpr!D35</f>
        <v>126.49353816142404</v>
      </c>
      <c r="J2" t="s">
        <v>146</v>
      </c>
      <c r="K2">
        <v>1</v>
      </c>
    </row>
    <row r="3" spans="1:11" x14ac:dyDescent="0.25">
      <c r="A3" s="55" t="s">
        <v>90</v>
      </c>
      <c r="B3" s="39">
        <f>IF(CMUpr!G41="",CMUpr!E41,CMUpr!G41)</f>
        <v>0.62907250000000003</v>
      </c>
      <c r="C3" s="59"/>
      <c r="G3" t="s">
        <v>20</v>
      </c>
      <c r="H3">
        <f>E2*SIN(-B2*PI()/180)</f>
        <v>24.802673985511532</v>
      </c>
      <c r="J3" t="s">
        <v>147</v>
      </c>
      <c r="K3">
        <f>H3/CMUpr!G35</f>
        <v>3.4936363282289618</v>
      </c>
    </row>
    <row r="4" spans="1:11" x14ac:dyDescent="0.25">
      <c r="A4" s="55" t="s">
        <v>95</v>
      </c>
      <c r="B4" s="39">
        <f>IF(CMUpr!L41="",CMUpr!J41,CMUpr!L41)</f>
        <v>0.77157933154521707</v>
      </c>
    </row>
    <row r="5" spans="1:11" x14ac:dyDescent="0.25">
      <c r="A5" s="55" t="s">
        <v>120</v>
      </c>
      <c r="B5" s="39">
        <f>IF(CMUpr!R41="",CMUpr!P41,CMUpr!R41)</f>
        <v>5.0999999999999996</v>
      </c>
    </row>
    <row r="6" spans="1:11" x14ac:dyDescent="0.25">
      <c r="A6" s="56">
        <v>1</v>
      </c>
      <c r="B6" s="56">
        <v>1</v>
      </c>
      <c r="C6" s="56">
        <v>1</v>
      </c>
      <c r="D6" s="56">
        <v>1</v>
      </c>
      <c r="E6" s="56">
        <v>1</v>
      </c>
      <c r="F6" s="58">
        <v>1</v>
      </c>
      <c r="G6" s="16" t="s">
        <v>137</v>
      </c>
      <c r="H6" s="28">
        <f>MMULT(A13:F13,J6:J11)</f>
        <v>1.930339182694031</v>
      </c>
      <c r="I6" s="28"/>
      <c r="J6" s="29">
        <f>-B3</f>
        <v>-0.62907250000000003</v>
      </c>
    </row>
    <row r="7" spans="1:11" x14ac:dyDescent="0.25">
      <c r="A7" s="56">
        <f>1/2</f>
        <v>0.5</v>
      </c>
      <c r="B7" s="56">
        <f>1/4</f>
        <v>0.25</v>
      </c>
      <c r="C7" s="56">
        <f>1/8</f>
        <v>0.125</v>
      </c>
      <c r="D7" s="42">
        <f>1/16</f>
        <v>6.25E-2</v>
      </c>
      <c r="E7" s="42">
        <f>1/32</f>
        <v>3.125E-2</v>
      </c>
      <c r="F7" s="20">
        <f>1/64</f>
        <v>1.5625E-2</v>
      </c>
      <c r="G7" s="16" t="s">
        <v>129</v>
      </c>
      <c r="H7" s="28">
        <f>MMULT(A14:F14,J6:J11)</f>
        <v>-6.3338734316747818</v>
      </c>
      <c r="I7" s="28"/>
      <c r="J7" s="29">
        <f>1-B3</f>
        <v>0.37092749999999997</v>
      </c>
    </row>
    <row r="8" spans="1:11" x14ac:dyDescent="0.25">
      <c r="A8" s="56">
        <v>1</v>
      </c>
      <c r="B8" s="56">
        <v>1</v>
      </c>
      <c r="C8" s="56">
        <f>3/4</f>
        <v>0.75</v>
      </c>
      <c r="D8" s="56">
        <f>1/2</f>
        <v>0.5</v>
      </c>
      <c r="E8" s="56">
        <f>5/16</f>
        <v>0.3125</v>
      </c>
      <c r="F8">
        <f>3/16</f>
        <v>0.1875</v>
      </c>
      <c r="G8" s="16" t="s">
        <v>130</v>
      </c>
      <c r="H8" s="28">
        <f>MMULT(A15:F15,J6:J11)</f>
        <v>15.805855716307093</v>
      </c>
      <c r="I8" s="28"/>
      <c r="J8" s="28">
        <v>0</v>
      </c>
    </row>
    <row r="9" spans="1:11" x14ac:dyDescent="0.25">
      <c r="A9" s="56">
        <f>1/2</f>
        <v>0.5</v>
      </c>
      <c r="B9" s="30">
        <f>1/3</f>
        <v>0.33333333333333331</v>
      </c>
      <c r="C9" s="56">
        <f>1/4</f>
        <v>0.25</v>
      </c>
      <c r="D9" s="56">
        <f>1/5</f>
        <v>0.2</v>
      </c>
      <c r="E9" s="30">
        <f>1/6</f>
        <v>0.16666666666666666</v>
      </c>
      <c r="F9" s="14">
        <f>1/7</f>
        <v>0.14285714285714285</v>
      </c>
      <c r="G9" s="16" t="s">
        <v>131</v>
      </c>
      <c r="H9" s="28">
        <f>MMULT(A16:F16,J6:J11)</f>
        <v>-19.090402695085743</v>
      </c>
      <c r="I9" s="28"/>
      <c r="J9" s="29">
        <f>B4-B3</f>
        <v>0.14250683154521704</v>
      </c>
    </row>
    <row r="10" spans="1:11" x14ac:dyDescent="0.25">
      <c r="A10" s="30">
        <f>1/3</f>
        <v>0.33333333333333331</v>
      </c>
      <c r="B10" s="56">
        <f>1/4</f>
        <v>0.25</v>
      </c>
      <c r="C10" s="56">
        <f>1/5</f>
        <v>0.2</v>
      </c>
      <c r="D10" s="30">
        <f>1/6</f>
        <v>0.16666666666666666</v>
      </c>
      <c r="E10" s="30">
        <f>1/7</f>
        <v>0.14285714285714285</v>
      </c>
      <c r="F10" s="14">
        <f>1/8</f>
        <v>0.125</v>
      </c>
      <c r="G10" s="16" t="s">
        <v>132</v>
      </c>
      <c r="H10" s="28">
        <f>MMULT(A17:F17,J6:J11)</f>
        <v>6.1662373827078909</v>
      </c>
      <c r="I10" s="28"/>
      <c r="J10" s="28">
        <f>(0.5-B5/100)*B4-0.5*B3</f>
        <v>3.1902869863802474E-2</v>
      </c>
    </row>
    <row r="11" spans="1:11" x14ac:dyDescent="0.25">
      <c r="A11" s="56">
        <v>1</v>
      </c>
      <c r="B11" s="56">
        <v>2</v>
      </c>
      <c r="C11" s="56">
        <v>3</v>
      </c>
      <c r="D11" s="56">
        <v>4</v>
      </c>
      <c r="E11" s="56">
        <v>5</v>
      </c>
      <c r="F11" s="56">
        <v>6</v>
      </c>
      <c r="G11" s="16" t="s">
        <v>133</v>
      </c>
      <c r="H11" s="28">
        <f>MMULT(A18:F18,J6:J11)</f>
        <v>0.89277134505157107</v>
      </c>
      <c r="I11" s="28"/>
      <c r="J11" s="20">
        <f>-K3</f>
        <v>-3.4936363282289618</v>
      </c>
    </row>
    <row r="12" spans="1:11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11" x14ac:dyDescent="0.25">
      <c r="A13" s="28">
        <f t="array" ref="A13:F18">MINVERSE(A6:F11)</f>
        <v>20.000000000001933</v>
      </c>
      <c r="B13" s="28">
        <v>1.7621459846850485E-12</v>
      </c>
      <c r="C13" s="28">
        <v>5.3333333333336128</v>
      </c>
      <c r="D13" s="28">
        <v>140.00000000000159</v>
      </c>
      <c r="E13" s="28">
        <v>-280.00000000001637</v>
      </c>
      <c r="F13" s="28">
        <v>-1.0000000000000675</v>
      </c>
      <c r="G13" s="28"/>
      <c r="H13" s="28"/>
      <c r="I13" s="28"/>
    </row>
    <row r="14" spans="1:11" x14ac:dyDescent="0.25">
      <c r="A14" s="28">
        <v>-232.00000000002137</v>
      </c>
      <c r="B14" s="28">
        <v>-96.000000000019554</v>
      </c>
      <c r="C14" s="28">
        <v>-58.666666666670153</v>
      </c>
      <c r="D14" s="28">
        <v>-1120.0000000000446</v>
      </c>
      <c r="E14" s="28">
        <v>2660.0000000001746</v>
      </c>
      <c r="F14" s="28">
        <v>12.000000000001194</v>
      </c>
      <c r="G14" s="28"/>
      <c r="H14" s="28"/>
      <c r="I14" s="28"/>
    </row>
    <row r="15" spans="1:11" x14ac:dyDescent="0.25">
      <c r="A15" s="28">
        <v>940.00000000008708</v>
      </c>
      <c r="B15" s="28">
        <v>640.00000000007685</v>
      </c>
      <c r="C15" s="28">
        <v>213.33333333334866</v>
      </c>
      <c r="D15" s="28">
        <v>3500.0000000002219</v>
      </c>
      <c r="E15" s="28">
        <v>-9520.0000000007458</v>
      </c>
      <c r="F15" s="28">
        <v>-50.000000000004988</v>
      </c>
      <c r="G15" s="28"/>
      <c r="H15" s="28"/>
      <c r="I15" s="28"/>
    </row>
    <row r="16" spans="1:11" x14ac:dyDescent="0.25">
      <c r="A16" s="28">
        <v>-1735.000000000161</v>
      </c>
      <c r="B16" s="28">
        <v>-1440.0000000001382</v>
      </c>
      <c r="C16" s="28">
        <v>-346.6666666666963</v>
      </c>
      <c r="D16" s="28">
        <v>-5320.0000000004438</v>
      </c>
      <c r="E16" s="28">
        <v>16100.000000001422</v>
      </c>
      <c r="F16" s="28">
        <v>95.000000000009123</v>
      </c>
      <c r="G16" s="28"/>
      <c r="H16" s="28"/>
      <c r="I16" s="28"/>
    </row>
    <row r="17" spans="1:13" x14ac:dyDescent="0.25">
      <c r="A17" s="28">
        <v>1484.0000000001367</v>
      </c>
      <c r="B17" s="28">
        <v>1344.0000000001153</v>
      </c>
      <c r="C17" s="28">
        <v>261.33333333335918</v>
      </c>
      <c r="D17" s="28">
        <v>3920.000000000392</v>
      </c>
      <c r="E17" s="28">
        <v>-12880.000000001228</v>
      </c>
      <c r="F17" s="28">
        <v>-84.000000000007688</v>
      </c>
      <c r="G17" s="28"/>
      <c r="H17" s="28"/>
      <c r="I17" s="28"/>
    </row>
    <row r="18" spans="1:13" x14ac:dyDescent="0.25">
      <c r="A18" s="28">
        <v>-476.00000000004331</v>
      </c>
      <c r="B18" s="28">
        <v>-448.0000000000361</v>
      </c>
      <c r="C18" s="28">
        <v>-74.666666666674999</v>
      </c>
      <c r="D18" s="28">
        <v>-1120.0000000001271</v>
      </c>
      <c r="E18" s="28">
        <v>3920.0000000003929</v>
      </c>
      <c r="F18" s="28">
        <v>28.000000000002427</v>
      </c>
      <c r="G18" s="28"/>
      <c r="H18" s="28"/>
      <c r="I18" s="28"/>
    </row>
    <row r="19" spans="1:13" x14ac:dyDescent="0.25">
      <c r="A19" s="28"/>
      <c r="B19" s="28"/>
      <c r="C19" s="28"/>
      <c r="D19" s="28"/>
      <c r="E19" s="28"/>
      <c r="F19" s="28"/>
      <c r="G19" s="28"/>
      <c r="H19" s="28"/>
      <c r="I19" s="28"/>
    </row>
    <row r="20" spans="1:13" x14ac:dyDescent="0.25">
      <c r="A20" s="28" t="s">
        <v>115</v>
      </c>
      <c r="B20" s="28" t="s">
        <v>118</v>
      </c>
      <c r="C20" s="28" t="s">
        <v>114</v>
      </c>
      <c r="D20" s="55" t="s">
        <v>140</v>
      </c>
      <c r="E20" s="38"/>
      <c r="F20" s="60" t="s">
        <v>136</v>
      </c>
      <c r="G20" s="38"/>
      <c r="H20" s="38"/>
      <c r="I20" s="38"/>
      <c r="J20" s="57" t="s">
        <v>142</v>
      </c>
    </row>
    <row r="21" spans="1:13" x14ac:dyDescent="0.25">
      <c r="A21" s="29">
        <v>0</v>
      </c>
      <c r="B21" s="42">
        <f t="shared" ref="B21:B41" si="0">$B$3+$H$6*A21+$H$7*A21^2+$H$8*A21^3+$H$9*A21^4+$H$10*A21^5+$H$11*A21^6</f>
        <v>0.62907250000000003</v>
      </c>
      <c r="C21" s="29">
        <f>A21*('CWD Opt1 Calcs'!$B$4+'Cwl Opt1 Calcs'!$B$2)/2-('Profile Calcs'!$P$32-'Profile Calcs'!$P$33)/2</f>
        <v>-0.53045365813530765</v>
      </c>
      <c r="D21" s="29">
        <f>B21*'Mid Upr WL Opt1 Calcs'!$B$4/2</f>
        <v>4.4660287061590669</v>
      </c>
      <c r="E21" s="36">
        <f>-D21</f>
        <v>-4.4660287061590669</v>
      </c>
      <c r="F21" s="36">
        <f>$H$6+$H$7*A21+$H$8*A21^2+$H$9*A21^3+$H$10*A21^4+$H$11*A21^5</f>
        <v>1.930339182694031</v>
      </c>
      <c r="G21" s="36"/>
      <c r="H21" s="36">
        <f>20-C21/'Cwl Opt1 Calcs'!$B$2*20</f>
        <v>20.08387047525833</v>
      </c>
      <c r="I21" s="39"/>
      <c r="J21" s="36">
        <f>H21/20</f>
        <v>1.0041935237629165</v>
      </c>
      <c r="L21" s="14">
        <f>(C21+'Profile Calcs'!$P$32-'Profile Calcs'!$P$33)/'CWD Opt1 Calcs'!$B$4</f>
        <v>4.0014994080741573E-3</v>
      </c>
      <c r="M21">
        <f>B21/'CWD Opt1 Calcs'!$B$6*'Mid Upr WL Opt1 Calcs'!$B$4</f>
        <v>0.62907250000000003</v>
      </c>
    </row>
    <row r="22" spans="1:13" x14ac:dyDescent="0.25">
      <c r="A22" s="29">
        <v>0.05</v>
      </c>
      <c r="B22" s="42">
        <f t="shared" si="0"/>
        <v>0.71161313340194321</v>
      </c>
      <c r="C22" s="29">
        <f>A22*('CWD Opt1 Calcs'!$B$4+'Cwl Opt1 Calcs'!$B$2)/2-('Profile Calcs'!$P$32-'Profile Calcs'!$P$33)/2</f>
        <v>5.9459778647694295</v>
      </c>
      <c r="D22" s="29">
        <f>B22*'Mid Upr WL Opt1 Calcs'!$B$4/2</f>
        <v>5.0520165504816692</v>
      </c>
      <c r="E22" s="36">
        <f t="shared" ref="E22:E41" si="1">-D22</f>
        <v>-5.0520165504816692</v>
      </c>
      <c r="F22" s="36">
        <f t="shared" ref="F22:F41" si="2">$H$6+$H$7*A22+$H$8*A22^2+$H$9*A22^3+$H$10*A22^4+$H$11*A22^5</f>
        <v>1.6508126680388611</v>
      </c>
      <c r="G22" s="36"/>
      <c r="H22" s="36">
        <f>20-C22/'Cwl Opt1 Calcs'!$B$2*20</f>
        <v>19.059876425121178</v>
      </c>
      <c r="I22" s="39"/>
      <c r="J22" s="36">
        <f t="shared" ref="J22:J41" si="3">H22/20</f>
        <v>0.95299382125605892</v>
      </c>
      <c r="L22" s="14">
        <f>(C22+'Profile Calcs'!$P$32-'Profile Calcs'!$P$33)/'CWD Opt1 Calcs'!$B$4</f>
        <v>5.285673210914834E-2</v>
      </c>
      <c r="M22">
        <f>B22/'CWD Opt1 Calcs'!$B$6*'Mid Upr WL Opt1 Calcs'!$B$4</f>
        <v>0.71161313340194321</v>
      </c>
    </row>
    <row r="23" spans="1:13" x14ac:dyDescent="0.25">
      <c r="A23" s="29">
        <v>0.1</v>
      </c>
      <c r="B23" s="42">
        <f t="shared" si="0"/>
        <v>0.77272705454462598</v>
      </c>
      <c r="C23" s="29">
        <f>A23*('CWD Opt1 Calcs'!$B$4+'Cwl Opt1 Calcs'!$B$2)/2-('Profile Calcs'!$P$32-'Profile Calcs'!$P$33)/2</f>
        <v>12.422409387674167</v>
      </c>
      <c r="D23" s="29">
        <f>B23*'Mid Upr WL Opt1 Calcs'!$B$4/2</f>
        <v>5.485887886725366</v>
      </c>
      <c r="E23" s="36">
        <f t="shared" si="1"/>
        <v>-5.485887886725366</v>
      </c>
      <c r="F23" s="36">
        <f t="shared" si="2"/>
        <v>1.4365455454462592</v>
      </c>
      <c r="G23" s="36"/>
      <c r="H23" s="36">
        <f>20-C23/'Cwl Opt1 Calcs'!$B$2*20</f>
        <v>18.035882374984027</v>
      </c>
      <c r="I23" s="39"/>
      <c r="J23" s="36">
        <f t="shared" si="3"/>
        <v>0.90179411874920135</v>
      </c>
      <c r="L23" s="14">
        <f>(C23+'Profile Calcs'!$P$32-'Profile Calcs'!$P$33)/'CWD Opt1 Calcs'!$B$4</f>
        <v>0.1017119648102224</v>
      </c>
      <c r="M23">
        <f>B23/'CWD Opt1 Calcs'!$B$6*'Mid Upr WL Opt1 Calcs'!$B$4</f>
        <v>0.77272705454462598</v>
      </c>
    </row>
    <row r="24" spans="1:13" x14ac:dyDescent="0.25">
      <c r="A24" s="29">
        <v>0.15</v>
      </c>
      <c r="B24" s="42">
        <f t="shared" si="0"/>
        <v>0.82026988974442283</v>
      </c>
      <c r="C24" s="29">
        <f>A24*('CWD Opt1 Calcs'!$B$4+'Cwl Opt1 Calcs'!$B$2)/2-('Profile Calcs'!$P$32-'Profile Calcs'!$P$33)/2</f>
        <v>18.898840910578901</v>
      </c>
      <c r="D24" s="29">
        <f>B24*'Mid Upr WL Opt1 Calcs'!$B$4/2</f>
        <v>5.8234128409627273</v>
      </c>
      <c r="E24" s="36">
        <f t="shared" si="1"/>
        <v>-5.8234128409627273</v>
      </c>
      <c r="F24" s="36">
        <f t="shared" si="2"/>
        <v>1.27464926496282</v>
      </c>
      <c r="G24" s="36"/>
      <c r="H24" s="36">
        <f>20-C24/'Cwl Opt1 Calcs'!$B$2*20</f>
        <v>17.011888324846879</v>
      </c>
      <c r="I24" s="39"/>
      <c r="J24" s="36">
        <f t="shared" si="3"/>
        <v>0.850594416242344</v>
      </c>
      <c r="L24" s="14">
        <f>(C24+'Profile Calcs'!$P$32-'Profile Calcs'!$P$33)/'CWD Opt1 Calcs'!$B$4</f>
        <v>0.15056719751129649</v>
      </c>
      <c r="M24">
        <f>B24/'CWD Opt1 Calcs'!$B$6*'Mid Upr WL Opt1 Calcs'!$B$4</f>
        <v>0.82026988974442283</v>
      </c>
    </row>
    <row r="25" spans="1:13" x14ac:dyDescent="0.25">
      <c r="A25" s="29">
        <v>0.2</v>
      </c>
      <c r="B25" s="42">
        <f t="shared" si="0"/>
        <v>0.85971793401868424</v>
      </c>
      <c r="C25" s="29">
        <f>A25*('CWD Opt1 Calcs'!$B$4+'Cwl Opt1 Calcs'!$B$2)/2-('Profile Calcs'!$P$32-'Profile Calcs'!$P$33)/2</f>
        <v>25.375272433483641</v>
      </c>
      <c r="D25" s="29">
        <f>B25*'Mid Upr WL Opt1 Calcs'!$B$4/2</f>
        <v>6.1034697471709709</v>
      </c>
      <c r="E25" s="36">
        <f t="shared" si="1"/>
        <v>-6.1034697471709709</v>
      </c>
      <c r="F25" s="36">
        <f t="shared" si="2"/>
        <v>1.1532271700934216</v>
      </c>
      <c r="G25" s="36"/>
      <c r="H25" s="36">
        <f>20-C25/'Cwl Opt1 Calcs'!$B$2*20</f>
        <v>15.987894274709728</v>
      </c>
      <c r="I25" s="39"/>
      <c r="J25" s="36">
        <f t="shared" si="3"/>
        <v>0.79939471373548643</v>
      </c>
      <c r="L25" s="14">
        <f>(C25+'Profile Calcs'!$P$32-'Profile Calcs'!$P$33)/'CWD Opt1 Calcs'!$B$4</f>
        <v>0.19942243021237066</v>
      </c>
      <c r="M25">
        <f>B25/'CWD Opt1 Calcs'!$B$6*'Mid Upr WL Opt1 Calcs'!$B$4</f>
        <v>0.85971793401868424</v>
      </c>
    </row>
    <row r="26" spans="1:13" x14ac:dyDescent="0.25">
      <c r="A26" s="29">
        <v>0.25</v>
      </c>
      <c r="B26" s="42">
        <f t="shared" si="0"/>
        <v>0.89442449418166725</v>
      </c>
      <c r="C26" s="29">
        <f>A26*('CWD Opt1 Calcs'!$B$4+'Cwl Opt1 Calcs'!$B$2)/2-('Profile Calcs'!$P$32-'Profile Calcs'!$P$33)/2</f>
        <v>31.851703956388377</v>
      </c>
      <c r="D26" s="29">
        <f>B26*'Mid Upr WL Opt1 Calcs'!$B$4/2</f>
        <v>6.3498650259026252</v>
      </c>
      <c r="E26" s="36">
        <f t="shared" si="1"/>
        <v>-6.3498650259026252</v>
      </c>
      <c r="F26" s="36">
        <f t="shared" si="2"/>
        <v>1.0614079767266689</v>
      </c>
      <c r="G26" s="36"/>
      <c r="H26" s="36">
        <f>20-C26/'Cwl Opt1 Calcs'!$B$2*20</f>
        <v>14.96390022457258</v>
      </c>
      <c r="I26" s="39"/>
      <c r="J26" s="36">
        <f t="shared" si="3"/>
        <v>0.74819501122862897</v>
      </c>
      <c r="L26" s="14">
        <f>(C26+'Profile Calcs'!$P$32-'Profile Calcs'!$P$33)/'CWD Opt1 Calcs'!$B$4</f>
        <v>0.24827766291344472</v>
      </c>
      <c r="M26">
        <f>B26/'CWD Opt1 Calcs'!$B$6*'Mid Upr WL Opt1 Calcs'!$B$4</f>
        <v>0.89442449418166714</v>
      </c>
    </row>
    <row r="27" spans="1:13" x14ac:dyDescent="0.25">
      <c r="A27" s="29">
        <v>0.3</v>
      </c>
      <c r="B27" s="42">
        <f t="shared" si="0"/>
        <v>0.92588627561809866</v>
      </c>
      <c r="C27" s="29">
        <f>A27*('CWD Opt1 Calcs'!$B$4+'Cwl Opt1 Calcs'!$B$2)/2-('Profile Calcs'!$P$32-'Profile Calcs'!$P$33)/2</f>
        <v>38.32813547929311</v>
      </c>
      <c r="D27" s="29">
        <f>B27*'Mid Upr WL Opt1 Calcs'!$B$4/2</f>
        <v>6.5732243669038697</v>
      </c>
      <c r="E27" s="36">
        <f t="shared" si="1"/>
        <v>-6.5732243669038697</v>
      </c>
      <c r="F27" s="36">
        <f t="shared" si="2"/>
        <v>0.98937925206032906</v>
      </c>
      <c r="G27" s="36"/>
      <c r="H27" s="36">
        <f>20-C27/'Cwl Opt1 Calcs'!$B$2*20</f>
        <v>13.939906174435428</v>
      </c>
      <c r="I27" s="39"/>
      <c r="J27" s="36">
        <f t="shared" si="3"/>
        <v>0.6969953087217714</v>
      </c>
      <c r="L27" s="14">
        <f>(C27+'Profile Calcs'!$P$32-'Profile Calcs'!$P$33)/'CWD Opt1 Calcs'!$B$4</f>
        <v>0.29713289561451878</v>
      </c>
      <c r="M27">
        <f>B27/'CWD Opt1 Calcs'!$B$6*'Mid Upr WL Opt1 Calcs'!$B$4</f>
        <v>0.92588627561809866</v>
      </c>
    </row>
    <row r="28" spans="1:13" x14ac:dyDescent="0.25">
      <c r="A28" s="29">
        <v>0.35</v>
      </c>
      <c r="B28" s="42">
        <f t="shared" si="0"/>
        <v>0.95401981273437086</v>
      </c>
      <c r="C28" s="29">
        <f>A28*('CWD Opt1 Calcs'!$B$4+'Cwl Opt1 Calcs'!$B$2)/2-('Profile Calcs'!$P$32-'Profile Calcs'!$P$33)/2</f>
        <v>44.804567002197849</v>
      </c>
      <c r="D28" s="29">
        <f>B28*'Mid Upr WL Opt1 Calcs'!$B$4/2</f>
        <v>6.7729552156805415</v>
      </c>
      <c r="E28" s="36">
        <f t="shared" si="1"/>
        <v>-6.7729552156805415</v>
      </c>
      <c r="F28" s="36">
        <f t="shared" si="2"/>
        <v>0.92842089352677371</v>
      </c>
      <c r="G28" s="36"/>
      <c r="H28" s="36">
        <f>20-C28/'Cwl Opt1 Calcs'!$B$2*20</f>
        <v>12.915912124298279</v>
      </c>
      <c r="I28" s="39"/>
      <c r="J28" s="36">
        <f t="shared" si="3"/>
        <v>0.64579560621491394</v>
      </c>
      <c r="L28" s="14">
        <f>(C28+'Profile Calcs'!$P$32-'Profile Calcs'!$P$33)/'CWD Opt1 Calcs'!$B$4</f>
        <v>0.34598812831559289</v>
      </c>
      <c r="M28">
        <f>B28/'CWD Opt1 Calcs'!$B$6*'Mid Upr WL Opt1 Calcs'!$B$4</f>
        <v>0.95401981273437098</v>
      </c>
    </row>
    <row r="29" spans="1:13" x14ac:dyDescent="0.25">
      <c r="A29" s="29">
        <v>0.4</v>
      </c>
      <c r="B29" s="42">
        <f t="shared" si="0"/>
        <v>0.97744794308736638</v>
      </c>
      <c r="C29" s="29">
        <f>A29*('CWD Opt1 Calcs'!$B$4+'Cwl Opt1 Calcs'!$B$2)/2-('Profile Calcs'!$P$32-'Profile Calcs'!$P$33)/2</f>
        <v>51.280998525102589</v>
      </c>
      <c r="D29" s="29">
        <f>B29*'Mid Upr WL Opt1 Calcs'!$B$4/2</f>
        <v>6.9392805640117983</v>
      </c>
      <c r="E29" s="36">
        <f t="shared" si="1"/>
        <v>-6.9392805640117983</v>
      </c>
      <c r="F29" s="36">
        <f t="shared" si="2"/>
        <v>0.87093860771841569</v>
      </c>
      <c r="G29" s="36"/>
      <c r="H29" s="36">
        <f>20-C29/'Cwl Opt1 Calcs'!$B$2*20</f>
        <v>11.891918074161129</v>
      </c>
      <c r="I29" s="39"/>
      <c r="J29" s="36">
        <f t="shared" si="3"/>
        <v>0.59459590370805648</v>
      </c>
      <c r="L29" s="14">
        <f>(C29+'Profile Calcs'!$P$32-'Profile Calcs'!$P$33)/'CWD Opt1 Calcs'!$B$4</f>
        <v>0.39484336101666706</v>
      </c>
      <c r="M29">
        <f>B29/'CWD Opt1 Calcs'!$B$6*'Mid Upr WL Opt1 Calcs'!$B$4</f>
        <v>0.97744794308736638</v>
      </c>
    </row>
    <row r="30" spans="1:13" x14ac:dyDescent="0.25">
      <c r="A30" s="29">
        <v>0.45</v>
      </c>
      <c r="B30" s="42">
        <f t="shared" si="0"/>
        <v>0.99379632519091854</v>
      </c>
      <c r="C30" s="29">
        <f>A30*('CWD Opt1 Calcs'!$B$4+'Cwl Opt1 Calcs'!$B$2)/2-('Profile Calcs'!$P$32-'Profile Calcs'!$P$33)/2</f>
        <v>57.757430048007329</v>
      </c>
      <c r="D30" s="29">
        <f>B30*'Mid Upr WL Opt1 Calcs'!$B$4/2</f>
        <v>7.0553440444114681</v>
      </c>
      <c r="E30" s="36">
        <f t="shared" si="1"/>
        <v>-7.0553440444114681</v>
      </c>
      <c r="F30" s="36">
        <f t="shared" si="2"/>
        <v>0.81049738931315252</v>
      </c>
      <c r="G30" s="36"/>
      <c r="H30" s="36">
        <f>20-C30/'Cwl Opt1 Calcs'!$B$2*20</f>
        <v>10.867924024023978</v>
      </c>
      <c r="I30" s="39"/>
      <c r="J30" s="36">
        <f t="shared" si="3"/>
        <v>0.54339620120119891</v>
      </c>
      <c r="L30" s="14">
        <f>(C30+'Profile Calcs'!$P$32-'Profile Calcs'!$P$33)/'CWD Opt1 Calcs'!$B$4</f>
        <v>0.44369859371774123</v>
      </c>
      <c r="M30">
        <f>B30/'CWD Opt1 Calcs'!$B$6*'Mid Upr WL Opt1 Calcs'!$B$4</f>
        <v>0.99379632519091843</v>
      </c>
    </row>
    <row r="31" spans="1:13" x14ac:dyDescent="0.25">
      <c r="A31" s="29">
        <v>0.5</v>
      </c>
      <c r="B31" s="42">
        <f t="shared" si="0"/>
        <v>0.9999999999999003</v>
      </c>
      <c r="C31" s="29">
        <f>A31*('CWD Opt1 Calcs'!$B$4+'Cwl Opt1 Calcs'!$B$2)/2-('Profile Calcs'!$P$32-'Profile Calcs'!$P$33)/2</f>
        <v>64.233861570912069</v>
      </c>
      <c r="D31" s="29">
        <f>B31*'Mid Upr WL Opt1 Calcs'!$B$4/2</f>
        <v>7.0993863285370473</v>
      </c>
      <c r="E31" s="36">
        <f t="shared" si="1"/>
        <v>-7.0993863285370473</v>
      </c>
      <c r="F31" s="36">
        <f t="shared" si="2"/>
        <v>0.74185499999980031</v>
      </c>
      <c r="G31" s="36"/>
      <c r="H31" s="36">
        <f>20-C31/'Cwl Opt1 Calcs'!$B$2*20</f>
        <v>9.84392997388683</v>
      </c>
      <c r="I31" s="39"/>
      <c r="J31" s="36">
        <f t="shared" si="3"/>
        <v>0.49219649869434151</v>
      </c>
      <c r="L31" s="14">
        <f>(C31+'Profile Calcs'!$P$32-'Profile Calcs'!$P$33)/'CWD Opt1 Calcs'!$B$4</f>
        <v>0.49255382641881529</v>
      </c>
      <c r="M31">
        <f>B31/'CWD Opt1 Calcs'!$B$6*'Mid Upr WL Opt1 Calcs'!$B$4</f>
        <v>0.99999999999990041</v>
      </c>
    </row>
    <row r="32" spans="1:13" x14ac:dyDescent="0.25">
      <c r="A32" s="29">
        <v>0.55000000000000004</v>
      </c>
      <c r="B32" s="42">
        <f t="shared" si="0"/>
        <v>0.99261999607194695</v>
      </c>
      <c r="C32" s="29">
        <f>A32*('CWD Opt1 Calcs'!$B$4+'Cwl Opt1 Calcs'!$B$2)/2-('Profile Calcs'!$P$32-'Profile Calcs'!$P$33)/2</f>
        <v>70.710293093816802</v>
      </c>
      <c r="D32" s="29">
        <f>B32*'Mid Upr WL Opt1 Calcs'!$B$4/2</f>
        <v>7.0469928295463804</v>
      </c>
      <c r="E32" s="36">
        <f t="shared" si="1"/>
        <v>-7.0469928295463804</v>
      </c>
      <c r="F32" s="36">
        <f t="shared" si="2"/>
        <v>0.6609954474035391</v>
      </c>
      <c r="G32" s="36"/>
      <c r="H32" s="36">
        <f>20-C32/'Cwl Opt1 Calcs'!$B$2*20</f>
        <v>8.8199359237496786</v>
      </c>
      <c r="I32" s="39"/>
      <c r="J32" s="36">
        <f t="shared" si="3"/>
        <v>0.44099679618748394</v>
      </c>
      <c r="L32" s="14">
        <f>(C32+'Profile Calcs'!$P$32-'Profile Calcs'!$P$33)/'CWD Opt1 Calcs'!$B$4</f>
        <v>0.54140905911988935</v>
      </c>
      <c r="M32">
        <f>B32/'CWD Opt1 Calcs'!$B$6*'Mid Upr WL Opt1 Calcs'!$B$4</f>
        <v>0.99261999607194695</v>
      </c>
    </row>
    <row r="33" spans="1:13" x14ac:dyDescent="0.25">
      <c r="A33" s="29">
        <v>0.6</v>
      </c>
      <c r="B33" s="42">
        <f t="shared" si="0"/>
        <v>0.96816997840680841</v>
      </c>
      <c r="C33" s="29">
        <f>A33*('CWD Opt1 Calcs'!$B$4+'Cwl Opt1 Calcs'!$B$2)/2-('Profile Calcs'!$P$32-'Profile Calcs'!$P$33)/2</f>
        <v>77.186724616721534</v>
      </c>
      <c r="D33" s="29">
        <f>B33*'Mid Upr WL Opt1 Calcs'!$B$4/2</f>
        <v>6.8734127084019896</v>
      </c>
      <c r="E33" s="36">
        <f t="shared" si="1"/>
        <v>-6.8734127084019896</v>
      </c>
      <c r="F33" s="36">
        <f t="shared" si="2"/>
        <v>0.5651624640113474</v>
      </c>
      <c r="G33" s="36"/>
      <c r="H33" s="36">
        <f>20-C33/'Cwl Opt1 Calcs'!$B$2*20</f>
        <v>7.795941873612529</v>
      </c>
      <c r="I33" s="39"/>
      <c r="J33" s="36">
        <f t="shared" si="3"/>
        <v>0.38979709368062643</v>
      </c>
      <c r="L33" s="14">
        <f>(C33+'Profile Calcs'!$P$32-'Profile Calcs'!$P$33)/'CWD Opt1 Calcs'!$B$4</f>
        <v>0.5902642918209634</v>
      </c>
      <c r="M33">
        <f>B33/'CWD Opt1 Calcs'!$B$6*'Mid Upr WL Opt1 Calcs'!$B$4</f>
        <v>0.9681699784068083</v>
      </c>
    </row>
    <row r="34" spans="1:13" x14ac:dyDescent="0.25">
      <c r="A34" s="29">
        <v>0.65</v>
      </c>
      <c r="B34" s="42">
        <f t="shared" si="0"/>
        <v>0.92345294096334085</v>
      </c>
      <c r="C34" s="29">
        <f>A34*('CWD Opt1 Calcs'!$B$4+'Cwl Opt1 Calcs'!$B$2)/2-('Profile Calcs'!$P$32-'Profile Calcs'!$P$33)/2</f>
        <v>83.663156139626267</v>
      </c>
      <c r="D34" s="29">
        <f>B34*'Mid Upr WL Opt1 Calcs'!$B$4/2</f>
        <v>6.5559491841231248</v>
      </c>
      <c r="E34" s="36">
        <f t="shared" si="1"/>
        <v>-6.5559491841231248</v>
      </c>
      <c r="F34" s="36">
        <f t="shared" si="2"/>
        <v>0.45289298609744533</v>
      </c>
      <c r="G34" s="36"/>
      <c r="H34" s="36">
        <f>20-C34/'Cwl Opt1 Calcs'!$B$2*20</f>
        <v>6.7719478234753794</v>
      </c>
      <c r="I34" s="39"/>
      <c r="J34" s="36">
        <f t="shared" si="3"/>
        <v>0.33859739117376897</v>
      </c>
      <c r="L34" s="14">
        <f>(C34+'Profile Calcs'!$P$32-'Profile Calcs'!$P$33)/'CWD Opt1 Calcs'!$B$4</f>
        <v>0.63911952452203757</v>
      </c>
      <c r="M34">
        <f>B34/'CWD Opt1 Calcs'!$B$6*'Mid Upr WL Opt1 Calcs'!$B$4</f>
        <v>0.92345294096334074</v>
      </c>
    </row>
    <row r="35" spans="1:13" x14ac:dyDescent="0.25">
      <c r="A35" s="29">
        <v>0.7</v>
      </c>
      <c r="B35" s="42">
        <f t="shared" si="0"/>
        <v>0.85590794285411231</v>
      </c>
      <c r="C35" s="29">
        <f>A35*('CWD Opt1 Calcs'!$B$4+'Cwl Opt1 Calcs'!$B$2)/2-('Profile Calcs'!$P$32-'Profile Calcs'!$P$33)/2</f>
        <v>90.139587662531</v>
      </c>
      <c r="D35" s="29">
        <f>B35*'Mid Upr WL Opt1 Calcs'!$B$4/2</f>
        <v>6.0764211479853589</v>
      </c>
      <c r="E35" s="36">
        <f t="shared" si="1"/>
        <v>-6.0764211479853589</v>
      </c>
      <c r="F35" s="36">
        <f t="shared" si="2"/>
        <v>0.32405063264873318</v>
      </c>
      <c r="G35" s="36"/>
      <c r="H35" s="36">
        <f>20-C35/'Cwl Opt1 Calcs'!$B$2*20</f>
        <v>5.7479537733382298</v>
      </c>
      <c r="I35" s="39"/>
      <c r="J35" s="36">
        <f t="shared" si="3"/>
        <v>0.28739768866691151</v>
      </c>
      <c r="L35" s="14">
        <f>(C35+'Profile Calcs'!$P$32-'Profile Calcs'!$P$33)/'CWD Opt1 Calcs'!$B$4</f>
        <v>0.68797475722311163</v>
      </c>
      <c r="M35">
        <f>B35/'CWD Opt1 Calcs'!$B$6*'Mid Upr WL Opt1 Calcs'!$B$4</f>
        <v>0.85590794285411231</v>
      </c>
    </row>
    <row r="36" spans="1:13" x14ac:dyDescent="0.25">
      <c r="A36" s="29">
        <v>0.75</v>
      </c>
      <c r="B36" s="42">
        <f t="shared" si="0"/>
        <v>0.76396688821766745</v>
      </c>
      <c r="C36" s="29">
        <f>A36*('CWD Opt1 Calcs'!$B$4+'Cwl Opt1 Calcs'!$B$2)/2-('Profile Calcs'!$P$32-'Profile Calcs'!$P$33)/2</f>
        <v>96.616019185435732</v>
      </c>
      <c r="D36" s="29">
        <f>B36*'Mid Upr WL Opt1 Calcs'!$B$4/2</f>
        <v>5.42369608166804</v>
      </c>
      <c r="E36" s="36">
        <f t="shared" si="1"/>
        <v>-5.42369608166804</v>
      </c>
      <c r="F36" s="36">
        <f t="shared" si="2"/>
        <v>0.17985918429022174</v>
      </c>
      <c r="G36" s="36"/>
      <c r="H36" s="36">
        <f>20-C36/'Cwl Opt1 Calcs'!$B$2*20</f>
        <v>4.7239597232010802</v>
      </c>
      <c r="I36" s="39"/>
      <c r="J36" s="36">
        <f t="shared" si="3"/>
        <v>0.236197986160054</v>
      </c>
      <c r="L36" s="14">
        <f>(C36+'Profile Calcs'!$P$32-'Profile Calcs'!$P$33)/'CWD Opt1 Calcs'!$B$4</f>
        <v>0.73682998992418569</v>
      </c>
      <c r="M36">
        <f>B36/'CWD Opt1 Calcs'!$B$6*'Mid Upr WL Opt1 Calcs'!$B$4</f>
        <v>0.76396688821766745</v>
      </c>
    </row>
    <row r="37" spans="1:13" x14ac:dyDescent="0.25">
      <c r="A37" s="29">
        <v>0.8</v>
      </c>
      <c r="B37" s="42">
        <f t="shared" si="0"/>
        <v>0.64742134976839649</v>
      </c>
      <c r="C37" s="29">
        <f>A37*('CWD Opt1 Calcs'!$B$4+'Cwl Opt1 Calcs'!$B$2)/2-('Profile Calcs'!$P$32-'Profile Calcs'!$P$33)/2</f>
        <v>103.09245070834049</v>
      </c>
      <c r="D37" s="29">
        <f>B37*'Mid Upr WL Opt1 Calcs'!$B$4/2</f>
        <v>4.5962942793492143</v>
      </c>
      <c r="E37" s="36">
        <f t="shared" si="1"/>
        <v>-4.5962942793492143</v>
      </c>
      <c r="F37" s="36">
        <f t="shared" si="2"/>
        <v>2.29360622104961E-2</v>
      </c>
      <c r="G37" s="36"/>
      <c r="H37" s="36">
        <f>20-C37/'Cwl Opt1 Calcs'!$B$2*20</f>
        <v>3.6999656730639288</v>
      </c>
      <c r="I37" s="39"/>
      <c r="J37" s="36">
        <f t="shared" si="3"/>
        <v>0.18499828365319643</v>
      </c>
      <c r="L37" s="14">
        <f>(C37+'Profile Calcs'!$P$32-'Profile Calcs'!$P$33)/'CWD Opt1 Calcs'!$B$4</f>
        <v>0.78568522262525997</v>
      </c>
      <c r="M37">
        <f>B37/'CWD Opt1 Calcs'!$B$6*'Mid Upr WL Opt1 Calcs'!$B$4</f>
        <v>0.64742134976839649</v>
      </c>
    </row>
    <row r="38" spans="1:13" x14ac:dyDescent="0.25">
      <c r="A38" s="29">
        <v>0.85</v>
      </c>
      <c r="B38" s="42">
        <f t="shared" si="0"/>
        <v>0.50779943602405653</v>
      </c>
      <c r="C38" s="29">
        <f>A38*('CWD Opt1 Calcs'!$B$4+'Cwl Opt1 Calcs'!$B$2)/2-('Profile Calcs'!$P$32-'Profile Calcs'!$P$33)/2</f>
        <v>109.56888223124523</v>
      </c>
      <c r="D38" s="29">
        <f>B38*'Mid Upr WL Opt1 Calcs'!$B$4/2</f>
        <v>3.6050643737483692</v>
      </c>
      <c r="E38" s="36">
        <f t="shared" si="1"/>
        <v>-3.6050643737483692</v>
      </c>
      <c r="F38" s="36">
        <f t="shared" si="2"/>
        <v>-0.14267419291287853</v>
      </c>
      <c r="G38" s="36"/>
      <c r="H38" s="36">
        <f>20-C38/'Cwl Opt1 Calcs'!$B$2*20</f>
        <v>2.6759716229267774</v>
      </c>
      <c r="I38" s="39"/>
      <c r="J38" s="36">
        <f t="shared" si="3"/>
        <v>0.13379858114633886</v>
      </c>
      <c r="L38" s="14">
        <f>(C38+'Profile Calcs'!$P$32-'Profile Calcs'!$P$33)/'CWD Opt1 Calcs'!$B$4</f>
        <v>0.83454045532633403</v>
      </c>
      <c r="M38">
        <f>B38/'CWD Opt1 Calcs'!$B$6*'Mid Upr WL Opt1 Calcs'!$B$4</f>
        <v>0.50779943602405653</v>
      </c>
    </row>
    <row r="39" spans="1:13" x14ac:dyDescent="0.25">
      <c r="A39" s="29">
        <v>0.9</v>
      </c>
      <c r="B39" s="42">
        <f t="shared" si="0"/>
        <v>0.34875270221090487</v>
      </c>
      <c r="C39" s="29">
        <f>A39*('CWD Opt1 Calcs'!$B$4+'Cwl Opt1 Calcs'!$B$2)/2-('Profile Calcs'!$P$32-'Profile Calcs'!$P$33)/2</f>
        <v>116.04531375414996</v>
      </c>
      <c r="D39" s="29">
        <f>B39*'Mid Upr WL Opt1 Calcs'!$B$4/2</f>
        <v>2.4759301661166968</v>
      </c>
      <c r="E39" s="36">
        <f t="shared" si="1"/>
        <v>-2.4759301661166968</v>
      </c>
      <c r="F39" s="36">
        <f t="shared" si="2"/>
        <v>-0.31146644198788287</v>
      </c>
      <c r="G39" s="36"/>
      <c r="H39" s="36">
        <f>20-C39/'Cwl Opt1 Calcs'!$B$2*20</f>
        <v>1.6519775727896295</v>
      </c>
      <c r="I39" s="39"/>
      <c r="J39" s="36">
        <f t="shared" si="3"/>
        <v>8.2598878639481482E-2</v>
      </c>
      <c r="L39" s="14">
        <f>(C39+'Profile Calcs'!$P$32-'Profile Calcs'!$P$33)/'CWD Opt1 Calcs'!$B$4</f>
        <v>0.88339568802740809</v>
      </c>
      <c r="M39">
        <f>B39/'CWD Opt1 Calcs'!$B$6*'Mid Upr WL Opt1 Calcs'!$B$4</f>
        <v>0.34875270221090487</v>
      </c>
    </row>
    <row r="40" spans="1:13" x14ac:dyDescent="0.25">
      <c r="A40" s="29">
        <v>0.95</v>
      </c>
      <c r="B40" s="42">
        <f t="shared" si="0"/>
        <v>0.17645310484649235</v>
      </c>
      <c r="C40" s="29">
        <f>A40*('CWD Opt1 Calcs'!$B$4+'Cwl Opt1 Calcs'!$B$2)/2-('Profile Calcs'!$P$32-'Profile Calcs'!$P$33)/2</f>
        <v>122.52174527705469</v>
      </c>
      <c r="D40" s="29">
        <f>B40*'Mid Upr WL Opt1 Calcs'!$B$4/2</f>
        <v>1.2527087601752269</v>
      </c>
      <c r="E40" s="36">
        <f t="shared" si="1"/>
        <v>-1.2527087601752269</v>
      </c>
      <c r="F40" s="36">
        <f t="shared" si="2"/>
        <v>-0.47644146858263781</v>
      </c>
      <c r="G40" s="36"/>
      <c r="H40" s="36">
        <f>20-C40/'Cwl Opt1 Calcs'!$B$2*20</f>
        <v>0.62798352265247814</v>
      </c>
      <c r="I40" s="39"/>
      <c r="J40" s="36">
        <f t="shared" si="3"/>
        <v>3.1399176132623906E-2</v>
      </c>
      <c r="L40" s="14">
        <f>(C40+'Profile Calcs'!$P$32-'Profile Calcs'!$P$33)/'CWD Opt1 Calcs'!$B$4</f>
        <v>0.93225092072848215</v>
      </c>
      <c r="M40">
        <f>B40/'CWD Opt1 Calcs'!$B$6*'Mid Upr WL Opt1 Calcs'!$B$4</f>
        <v>0.17645310484649235</v>
      </c>
    </row>
    <row r="41" spans="1:13" x14ac:dyDescent="0.25">
      <c r="A41" s="29">
        <v>1</v>
      </c>
      <c r="B41" s="42">
        <f t="shared" si="0"/>
        <v>6.0396132539608516E-14</v>
      </c>
      <c r="C41" s="29">
        <f>A41*('CWD Opt1 Calcs'!$B$4+'Cwl Opt1 Calcs'!$B$2)/2-('Profile Calcs'!$P$32-'Profile Calcs'!$P$33)/2</f>
        <v>128.99817679995942</v>
      </c>
      <c r="D41" s="29">
        <f>B41*'Mid Upr WL Opt1 Calcs'!$B$4/2</f>
        <v>4.2877547764825097E-13</v>
      </c>
      <c r="E41" s="36">
        <f t="shared" si="1"/>
        <v>-4.2877547764825097E-13</v>
      </c>
      <c r="F41" s="36">
        <f t="shared" si="2"/>
        <v>-0.62907249999993908</v>
      </c>
      <c r="G41" s="36"/>
      <c r="H41" s="36">
        <f>20-C41/'Cwl Opt1 Calcs'!$B$2*20</f>
        <v>-0.39601052748466614</v>
      </c>
      <c r="I41" s="39"/>
      <c r="J41" s="36">
        <f t="shared" si="3"/>
        <v>-1.9800526374233306E-2</v>
      </c>
      <c r="L41" s="14">
        <f>(C41+'Profile Calcs'!$P$32-'Profile Calcs'!$P$33)/'CWD Opt1 Calcs'!$B$4</f>
        <v>0.98110615342955632</v>
      </c>
      <c r="M41">
        <f>B41/'CWD Opt1 Calcs'!$B$6*'Mid Upr WL Opt1 Calcs'!$B$4</f>
        <v>6.0396132539608516E-14</v>
      </c>
    </row>
    <row r="43" spans="1:13" x14ac:dyDescent="0.25">
      <c r="C43" s="28" t="s">
        <v>9</v>
      </c>
      <c r="D43" s="29">
        <f>DEGREES(ATAN((D41-D40)/(C41-C40)))</f>
        <v>-10.947290774532515</v>
      </c>
      <c r="E43" s="28">
        <f>(ATAN((D41-D40)/(C41-C40)))</f>
        <v>-0.19106626818879258</v>
      </c>
    </row>
    <row r="44" spans="1:13" x14ac:dyDescent="0.25">
      <c r="C44" s="28"/>
      <c r="D44" s="29"/>
      <c r="E44" s="28"/>
    </row>
  </sheetData>
  <phoneticPr fontId="1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topLeftCell="A48" workbookViewId="0">
      <selection activeCell="E52" sqref="E52"/>
    </sheetView>
  </sheetViews>
  <sheetFormatPr defaultRowHeight="15" x14ac:dyDescent="0.25"/>
  <cols>
    <col min="8" max="8" width="12" bestFit="1" customWidth="1"/>
  </cols>
  <sheetData>
    <row r="1" spans="1:9" x14ac:dyDescent="0.25">
      <c r="A1" t="s">
        <v>95</v>
      </c>
      <c r="B1" s="16" t="s">
        <v>30</v>
      </c>
      <c r="C1" s="16" t="s">
        <v>31</v>
      </c>
    </row>
    <row r="2" spans="1:9" x14ac:dyDescent="0.25">
      <c r="C2" s="16" t="s">
        <v>345</v>
      </c>
      <c r="D2" s="16" t="s">
        <v>346</v>
      </c>
      <c r="E2" s="16" t="s">
        <v>347</v>
      </c>
      <c r="F2" s="16" t="s">
        <v>348</v>
      </c>
      <c r="H2" s="16" t="s">
        <v>349</v>
      </c>
    </row>
    <row r="3" spans="1:9" x14ac:dyDescent="0.25">
      <c r="A3" s="16">
        <v>1</v>
      </c>
      <c r="B3" s="16">
        <v>2</v>
      </c>
      <c r="C3" s="16">
        <v>3</v>
      </c>
      <c r="D3" s="16">
        <v>4</v>
      </c>
      <c r="E3" s="16">
        <v>5</v>
      </c>
      <c r="F3" s="16">
        <v>6</v>
      </c>
      <c r="H3" s="228">
        <f>Cwl!D73+2</f>
        <v>5</v>
      </c>
    </row>
    <row r="4" spans="1:9" x14ac:dyDescent="0.25">
      <c r="A4">
        <v>0</v>
      </c>
      <c r="B4">
        <v>0</v>
      </c>
      <c r="C4" s="20">
        <f>'Cwl Opt1 Calcs'!B24</f>
        <v>0.60814500000000005</v>
      </c>
      <c r="D4" s="20">
        <f>'Cwl Opt2 Calcs'!B21</f>
        <v>0.60814500000000005</v>
      </c>
      <c r="E4" s="20">
        <f>'Cwl Opt3 Calcs'!B33</f>
        <v>0.60814500000000005</v>
      </c>
      <c r="F4" s="20">
        <f>_xll.Spline(Cwl!$F$49:$F$66,Cwl!$G$49:$G$66,'Cxx Selected'!B4,TRUE)</f>
        <v>0.74474755213131949</v>
      </c>
      <c r="H4" s="20">
        <f>VLOOKUP(A4,$A$3:$F$24,$H$3,TRUE)</f>
        <v>0.60814500000000005</v>
      </c>
      <c r="I4">
        <f>H4*Inputs!$B$4/2</f>
        <v>4.3174562987685938</v>
      </c>
    </row>
    <row r="5" spans="1:9" x14ac:dyDescent="0.25">
      <c r="A5">
        <v>1</v>
      </c>
      <c r="B5">
        <v>0.05</v>
      </c>
      <c r="C5" s="20">
        <f>'Cwl Opt1 Calcs'!B25</f>
        <v>0.7149726843913502</v>
      </c>
      <c r="D5" s="20">
        <f>'Cwl Opt2 Calcs'!B22</f>
        <v>0.77066853818811043</v>
      </c>
      <c r="E5" s="20">
        <f>'Cwl Opt3 Calcs'!B34</f>
        <v>0.66925327285799885</v>
      </c>
      <c r="F5" s="20">
        <f>_xll.Spline(Cwl!$F$49:$F$66,Cwl!$G$49:$G$66,'Cxx Selected'!B5,TRUE)</f>
        <v>0.72884408403159273</v>
      </c>
      <c r="H5" s="20">
        <f t="shared" ref="H5:H24" si="0">VLOOKUP(A5,$A$3:$F$24,$H$3,TRUE)</f>
        <v>0.66925327285799885</v>
      </c>
      <c r="I5">
        <f>H5*Inputs!$B$4/2</f>
        <v>4.7512875356572248</v>
      </c>
    </row>
    <row r="6" spans="1:9" x14ac:dyDescent="0.25">
      <c r="A6">
        <v>2</v>
      </c>
      <c r="B6">
        <v>0.1</v>
      </c>
      <c r="C6" s="20">
        <f>'Cwl Opt1 Calcs'!B26</f>
        <v>0.78109592776704762</v>
      </c>
      <c r="D6" s="20">
        <f>'Cwl Opt2 Calcs'!B23</f>
        <v>0.82731456912873114</v>
      </c>
      <c r="E6" s="20">
        <f>'Cwl Opt3 Calcs'!B35</f>
        <v>0.7277972723334829</v>
      </c>
      <c r="F6" s="20">
        <f>_xll.Spline(Cwl!$F$49:$F$66,Cwl!$G$49:$G$66,'Cxx Selected'!B6,TRUE)</f>
        <v>0.76453541332135744</v>
      </c>
      <c r="H6" s="20">
        <f t="shared" si="0"/>
        <v>0.7277972723334829</v>
      </c>
      <c r="I6">
        <f>H6*Inputs!$B$4/2</f>
        <v>5.1669140051513978</v>
      </c>
    </row>
    <row r="7" spans="1:9" x14ac:dyDescent="0.25">
      <c r="A7">
        <v>3</v>
      </c>
      <c r="B7">
        <v>0.15</v>
      </c>
      <c r="C7" s="20">
        <f>'Cwl Opt1 Calcs'!B27</f>
        <v>0.82432248110834339</v>
      </c>
      <c r="D7" s="20">
        <f>'Cwl Opt2 Calcs'!B24</f>
        <v>0.8388873874544881</v>
      </c>
      <c r="E7" s="20">
        <f>'Cwl Opt3 Calcs'!B36</f>
        <v>0.78484025589652306</v>
      </c>
      <c r="F7" s="20">
        <f>_xll.Spline(Cwl!$F$49:$F$66,Cwl!$G$49:$G$66,'Cxx Selected'!B7,TRUE)</f>
        <v>0.82602414130586765</v>
      </c>
      <c r="H7" s="20">
        <f t="shared" si="0"/>
        <v>0.78484025589652306</v>
      </c>
      <c r="I7">
        <f>H7*Inputs!$B$4/2</f>
        <v>5.5718841827978496</v>
      </c>
    </row>
    <row r="8" spans="1:9" x14ac:dyDescent="0.25">
      <c r="A8">
        <v>4</v>
      </c>
      <c r="B8">
        <v>0.2</v>
      </c>
      <c r="C8" s="20">
        <f>'Cwl Opt1 Calcs'!B28</f>
        <v>0.85687702582528769</v>
      </c>
      <c r="D8" s="20">
        <f>'Cwl Opt2 Calcs'!B25</f>
        <v>0.84188719619437435</v>
      </c>
      <c r="E8" s="20">
        <f>'Cwl Opt3 Calcs'!B37</f>
        <v>0.83969717409136657</v>
      </c>
      <c r="F8" s="20">
        <f>_xll.Spline(Cwl!$F$49:$F$66,Cwl!$G$49:$G$66,'Cxx Selected'!B8,TRUE)</f>
        <v>0.88751286929037787</v>
      </c>
      <c r="H8" s="20">
        <f t="shared" si="0"/>
        <v>0.83969717409136657</v>
      </c>
      <c r="I8">
        <f>H8*Inputs!$B$4/2</f>
        <v>5.9613346378560355</v>
      </c>
    </row>
    <row r="9" spans="1:9" x14ac:dyDescent="0.25">
      <c r="A9">
        <v>5</v>
      </c>
      <c r="B9">
        <v>0.25</v>
      </c>
      <c r="C9" s="20">
        <f>'Cwl Opt1 Calcs'!B29</f>
        <v>0.88615828682813158</v>
      </c>
      <c r="D9" s="20">
        <f>'Cwl Opt2 Calcs'!B26</f>
        <v>0.85439069676975332</v>
      </c>
      <c r="E9" s="20">
        <f>'Cwl Opt3 Calcs'!B38</f>
        <v>0.89050120538174504</v>
      </c>
      <c r="F9" s="20">
        <f>_xll.Spline(Cwl!$F$49:$F$66,Cwl!$G$49:$G$66,'Cxx Selected'!B9,TRUE)</f>
        <v>0.92950806475530345</v>
      </c>
      <c r="H9" s="20">
        <f t="shared" si="0"/>
        <v>0.89050120538174504</v>
      </c>
      <c r="I9">
        <f>H9*Inputs!$B$4/2</f>
        <v>6.3220120830335524</v>
      </c>
    </row>
    <row r="10" spans="1:9" x14ac:dyDescent="0.25">
      <c r="A10">
        <v>6</v>
      </c>
      <c r="B10">
        <v>0.3</v>
      </c>
      <c r="C10" s="20">
        <f>'Cwl Opt1 Calcs'!B30</f>
        <v>0.91549614559872561</v>
      </c>
      <c r="D10" s="20">
        <f>'Cwl Opt2 Calcs'!B27</f>
        <v>0.88124854873374492</v>
      </c>
      <c r="E10" s="20">
        <f>'Cwl Opt3 Calcs'!B39</f>
        <v>0.93469629148079614</v>
      </c>
      <c r="F10" s="20">
        <f>_xll.Spline(Cwl!$F$49:$F$66,Cwl!$G$49:$G$66,'Cxx Selected'!B10,TRUE)</f>
        <v>0.96250428976345936</v>
      </c>
      <c r="H10" s="20">
        <f t="shared" si="0"/>
        <v>0.93469629148079614</v>
      </c>
      <c r="I10">
        <f>H10*Inputs!$B$4/2</f>
        <v>6.6357700730737044</v>
      </c>
    </row>
    <row r="11" spans="1:9" x14ac:dyDescent="0.25">
      <c r="A11">
        <v>7</v>
      </c>
      <c r="B11">
        <v>0.35</v>
      </c>
      <c r="C11" s="20">
        <f>'Cwl Opt1 Calcs'!B31</f>
        <v>0.94490875326191981</v>
      </c>
      <c r="D11" s="20">
        <f>'Cwl Opt2 Calcs'!B28</f>
        <v>0.91859969925399954</v>
      </c>
      <c r="E11" s="20">
        <f>'Cwl Opt3 Calcs'!B40</f>
        <v>0.96945567316559722</v>
      </c>
      <c r="F11" s="20">
        <f>_xll.Spline(Cwl!$F$49:$F$66,Cwl!$G$49:$G$66,'Cxx Selected'!B11,TRUE)</f>
        <v>1</v>
      </c>
      <c r="H11" s="20">
        <f t="shared" si="0"/>
        <v>0.96945567316559722</v>
      </c>
      <c r="I11">
        <f>H11*Inputs!$B$4/2</f>
        <v>6.8825403521952069</v>
      </c>
    </row>
    <row r="12" spans="1:9" x14ac:dyDescent="0.25">
      <c r="A12">
        <v>8</v>
      </c>
      <c r="B12">
        <v>0.4</v>
      </c>
      <c r="C12" s="20">
        <f>'Cwl Opt1 Calcs'!B32</f>
        <v>0.97185964365696431</v>
      </c>
      <c r="D12" s="20">
        <f>'Cwl Opt2 Calcs'!B29</f>
        <v>0.95770258233886107</v>
      </c>
      <c r="E12" s="20">
        <f>'Cwl Opt3 Calcs'!B41</f>
        <v>0.99202642657631113</v>
      </c>
      <c r="F12" s="20">
        <f>_xll.Spline(Cwl!$F$49:$F$66,Cwl!$G$49:$G$66,'Cxx Selected'!B12,TRUE)</f>
        <v>1</v>
      </c>
      <c r="H12" s="20">
        <f t="shared" si="0"/>
        <v>0.99202642657631113</v>
      </c>
      <c r="I12">
        <f>H12*Inputs!$B$4/2</f>
        <v>7.0427788503840265</v>
      </c>
    </row>
    <row r="13" spans="1:9" x14ac:dyDescent="0.25">
      <c r="A13">
        <v>9</v>
      </c>
      <c r="B13">
        <v>0.45</v>
      </c>
      <c r="C13" s="20">
        <f>'Cwl Opt1 Calcs'!B33</f>
        <v>0.99201484640890902</v>
      </c>
      <c r="D13" s="20">
        <f>'Cwl Opt2 Calcs'!B30</f>
        <v>0.9880831878069134</v>
      </c>
      <c r="E13" s="20">
        <f>'Cwl Opt3 Calcs'!B42</f>
        <v>0.99999999999994815</v>
      </c>
      <c r="F13" s="20">
        <f>_xll.Spline(Cwl!$F$49:$F$66,Cwl!$G$49:$G$66,'Cxx Selected'!B13,TRUE)</f>
        <v>1</v>
      </c>
      <c r="H13" s="20">
        <f t="shared" si="0"/>
        <v>0.99999999999994815</v>
      </c>
      <c r="I13">
        <f>H13*Inputs!$B$4/2</f>
        <v>7.0993863285373875</v>
      </c>
    </row>
    <row r="14" spans="1:9" x14ac:dyDescent="0.25">
      <c r="A14">
        <v>10</v>
      </c>
      <c r="B14">
        <v>0.5</v>
      </c>
      <c r="C14" s="20">
        <f>'Cwl Opt1 Calcs'!B34</f>
        <v>1.0000000000000036</v>
      </c>
      <c r="D14" s="20">
        <f>'Cwl Opt2 Calcs'!B31</f>
        <v>0.99999999999991185</v>
      </c>
      <c r="E14" s="20">
        <f>'Cwl Opt3 Calcs'!B43</f>
        <v>0.99150875113873571</v>
      </c>
      <c r="F14" s="20">
        <f>_xll.Spline(Cwl!$F$49:$F$66,Cwl!$G$49:$G$66,'Cxx Selected'!B14,TRUE)</f>
        <v>0.99623348176267978</v>
      </c>
      <c r="H14" s="20">
        <f t="shared" si="0"/>
        <v>0.99150875113873571</v>
      </c>
      <c r="I14">
        <f>H14*Inputs!$B$4/2</f>
        <v>7.0391036724598841</v>
      </c>
    </row>
    <row r="15" spans="1:9" x14ac:dyDescent="0.25">
      <c r="A15">
        <v>11</v>
      </c>
      <c r="B15">
        <v>0.55000000000000004</v>
      </c>
      <c r="C15" s="20">
        <f>'Cwl Opt1 Calcs'!B35</f>
        <v>0.99015746484109912</v>
      </c>
      <c r="D15" s="20">
        <f>'Cwl Opt2 Calcs'!B32</f>
        <v>0.98622580623910538</v>
      </c>
      <c r="E15" s="20">
        <f>'Cwl Opt3 Calcs'!B44</f>
        <v>0.96534848486310576</v>
      </c>
      <c r="F15" s="20">
        <f>_xll.Spline(Cwl!$F$49:$F$66,Cwl!$G$49:$G$66,'Cxx Selected'!B15,TRUE)</f>
        <v>0.95273845788829259</v>
      </c>
      <c r="H15" s="20">
        <f t="shared" si="0"/>
        <v>0.96534848486310576</v>
      </c>
      <c r="I15">
        <f>H15*Inputs!$B$4/2</f>
        <v>6.8533818357117688</v>
      </c>
    </row>
    <row r="16" spans="1:9" x14ac:dyDescent="0.25">
      <c r="A16">
        <v>12</v>
      </c>
      <c r="B16">
        <v>0.6</v>
      </c>
      <c r="C16" s="20">
        <f>'Cwl Opt1 Calcs'!B36</f>
        <v>0.95730343634304282</v>
      </c>
      <c r="D16" s="20">
        <f>'Cwl Opt2 Calcs'!B33</f>
        <v>0.94314637502494758</v>
      </c>
      <c r="E16" s="20">
        <f>'Cwl Opt3 Calcs'!B45</f>
        <v>0.92102699144929068</v>
      </c>
      <c r="F16" s="20">
        <f>_xll.Spline(Cwl!$F$49:$F$66,Cwl!$G$49:$G$66,'Cxx Selected'!B16,TRUE)</f>
        <v>0.89874463514767389</v>
      </c>
      <c r="H16" s="20">
        <f t="shared" si="0"/>
        <v>0.92102699144929068</v>
      </c>
      <c r="I16">
        <f>H16*Inputs!$B$4/2</f>
        <v>6.538726431309354</v>
      </c>
    </row>
    <row r="17" spans="1:9" x14ac:dyDescent="0.25">
      <c r="A17">
        <v>13</v>
      </c>
      <c r="B17">
        <v>0.65</v>
      </c>
      <c r="C17" s="20">
        <f>'Cwl Opt1 Calcs'!B37</f>
        <v>0.89748505798808642</v>
      </c>
      <c r="D17" s="20">
        <f>'Cwl Opt2 Calcs'!B34</f>
        <v>0.87117600398016393</v>
      </c>
      <c r="E17" s="20">
        <f>'Cwl Opt3 Calcs'!B46</f>
        <v>0.8587385853015379</v>
      </c>
      <c r="F17" s="20">
        <f>_xll.Spline(Cwl!$F$49:$F$66,Cwl!$G$49:$G$66,'Cxx Selected'!B17,TRUE)</f>
        <v>0.84325522080101001</v>
      </c>
      <c r="H17" s="20">
        <f t="shared" si="0"/>
        <v>0.8587385853015379</v>
      </c>
      <c r="I17">
        <f>H17*Inputs!$B$4/2</f>
        <v>6.0965169722775912</v>
      </c>
    </row>
    <row r="18" spans="1:9" x14ac:dyDescent="0.25">
      <c r="A18">
        <v>14</v>
      </c>
      <c r="B18">
        <v>0.7</v>
      </c>
      <c r="C18" s="20">
        <f>'Cwl Opt1 Calcs'!B38</f>
        <v>0.80873753440128393</v>
      </c>
      <c r="D18" s="20">
        <f>'Cwl Opt2 Calcs'!B35</f>
        <v>0.77448993753629836</v>
      </c>
      <c r="E18" s="20">
        <f>'Cwl Opt3 Calcs'!B47</f>
        <v>0.77926464415892849</v>
      </c>
      <c r="F18" s="20">
        <f>_xll.Spline(Cwl!$F$49:$F$66,Cwl!$G$49:$G$66,'Cxx Selected'!B18,TRUE)</f>
        <v>0.75926482987115884</v>
      </c>
      <c r="H18" s="20">
        <f t="shared" si="0"/>
        <v>0.77926464415892849</v>
      </c>
      <c r="I18">
        <f>H18*Inputs!$B$4/2</f>
        <v>5.5323007610547359</v>
      </c>
    </row>
    <row r="19" spans="1:9" x14ac:dyDescent="0.25">
      <c r="A19">
        <v>15</v>
      </c>
      <c r="B19">
        <v>0.75</v>
      </c>
      <c r="C19" s="20">
        <f>'Cwl Opt1 Calcs'!B39</f>
        <v>0.69184124442187489</v>
      </c>
      <c r="D19" s="20">
        <f>'Cwl Opt2 Calcs'!B36</f>
        <v>0.66007365436348664</v>
      </c>
      <c r="E19" s="20">
        <f>'Cwl Opt3 Calcs'!B48</f>
        <v>0.68380014878681705</v>
      </c>
      <c r="F19" s="20">
        <f>_xll.Spline(Cwl!$F$49:$F$66,Cwl!$G$49:$G$66,'Cxx Selected'!B19,TRUE)</f>
        <v>0.65727649802776811</v>
      </c>
      <c r="H19" s="20">
        <f t="shared" si="0"/>
        <v>0.68380014878681705</v>
      </c>
      <c r="I19">
        <f>H19*Inputs!$B$4/2</f>
        <v>4.8545614277492115</v>
      </c>
    </row>
    <row r="20" spans="1:9" x14ac:dyDescent="0.25">
      <c r="A20">
        <v>16</v>
      </c>
      <c r="B20">
        <v>0.8</v>
      </c>
      <c r="C20" s="20">
        <f>'Cwl Opt1 Calcs'!B40</f>
        <v>0.55107885417471891</v>
      </c>
      <c r="D20" s="20">
        <f>'Cwl Opt2 Calcs'!B37</f>
        <v>0.53608902454377905</v>
      </c>
      <c r="E20" s="20">
        <f>'Cwl Opt3 Calcs'!B49</f>
        <v>0.57370622315288178</v>
      </c>
      <c r="F20" s="20">
        <f>_xll.Spline(Cwl!$F$49:$F$66,Cwl!$G$49:$G$66,'Cxx Selected'!B20,TRUE)</f>
        <v>0.5447936041215623</v>
      </c>
      <c r="H20" s="20">
        <f t="shared" si="0"/>
        <v>0.57370622315288178</v>
      </c>
      <c r="I20">
        <f>H20*Inputs!$B$4/2</f>
        <v>4.0729621172485997</v>
      </c>
    </row>
    <row r="21" spans="1:9" x14ac:dyDescent="0.25">
      <c r="A21">
        <v>17</v>
      </c>
      <c r="B21">
        <v>0.85</v>
      </c>
      <c r="C21" s="20">
        <f>'Cwl Opt1 Calcs'!B41</f>
        <v>0.39499243014166296</v>
      </c>
      <c r="D21" s="20">
        <f>'Cwl Opt2 Calcs'!B38</f>
        <v>0.40955733648778292</v>
      </c>
      <c r="E21" s="20">
        <f>'Cwl Opt3 Calcs'!B50</f>
        <v>0.45018867508778548</v>
      </c>
      <c r="F21" s="20">
        <f>_xll.Spline(Cwl!$F$49:$F$66,Cwl!$G$49:$G$66,'Cxx Selected'!B21,TRUE)</f>
        <v>0.44130544386870996</v>
      </c>
      <c r="H21" s="20">
        <f t="shared" si="0"/>
        <v>0.45018867508778548</v>
      </c>
      <c r="I21">
        <f>H21*Inputs!$B$4/2</f>
        <v>3.19606332518075</v>
      </c>
    </row>
    <row r="22" spans="1:9" x14ac:dyDescent="0.25">
      <c r="A22">
        <v>18</v>
      </c>
      <c r="B22">
        <v>0.9</v>
      </c>
      <c r="C22" s="20">
        <f>'Cwl Opt1 Calcs'!B42</f>
        <v>0.23714055223295816</v>
      </c>
      <c r="D22" s="20">
        <f>'Cwl Opt2 Calcs'!B39</f>
        <v>0.28335919359457762</v>
      </c>
      <c r="E22" s="20">
        <f>'Cwl Opt3 Calcs'!B51</f>
        <v>0.31390253743044694</v>
      </c>
      <c r="F22" s="20">
        <f>_xll.Spline(Cwl!$F$49:$F$66,Cwl!$G$49:$G$66,'Cxx Selected'!B22,TRUE)</f>
        <v>0.27023603231833648</v>
      </c>
      <c r="H22" s="20">
        <f t="shared" si="0"/>
        <v>0.31390253743044694</v>
      </c>
      <c r="I22">
        <f>H22*Inputs!$B$4/2</f>
        <v>2.2285153827270259</v>
      </c>
    </row>
    <row r="23" spans="1:9" x14ac:dyDescent="0.25">
      <c r="A23">
        <v>19</v>
      </c>
      <c r="B23">
        <v>0.95</v>
      </c>
      <c r="C23" s="20">
        <f>'Cwl Opt1 Calcs'!B43</f>
        <v>9.6855426858642346E-2</v>
      </c>
      <c r="D23" s="20">
        <f>'Cwl Opt2 Calcs'!B40</f>
        <v>0.15255128065530954</v>
      </c>
      <c r="E23" s="20">
        <f>'Cwl Opt3 Calcs'!B52</f>
        <v>0.16448260965793526</v>
      </c>
      <c r="F23" s="20">
        <f>_xll.Spline(Cwl!$F$49:$F$66,Cwl!$G$49:$G$66,'Cxx Selected'!B23,TRUE)</f>
        <v>0.14006872095141659</v>
      </c>
      <c r="H23" s="20">
        <f t="shared" si="0"/>
        <v>0.16448260965793526</v>
      </c>
      <c r="I23">
        <f>H23*Inputs!$B$4/2</f>
        <v>1.1677255902877577</v>
      </c>
    </row>
    <row r="24" spans="1:9" x14ac:dyDescent="0.25">
      <c r="A24">
        <v>20</v>
      </c>
      <c r="B24">
        <v>1</v>
      </c>
      <c r="C24" s="20">
        <f>'Cwl Opt1 Calcs'!B44</f>
        <v>0</v>
      </c>
      <c r="D24" s="20">
        <f>'Cwl Opt2 Calcs'!B41</f>
        <v>-1.5631940186722204E-13</v>
      </c>
      <c r="E24" s="20">
        <f>'Cwl Opt3 Calcs'!B53</f>
        <v>-3.1974423109204508E-14</v>
      </c>
      <c r="F24" s="20">
        <f>_xll.Spline(Cwl!$F$49:$F$66,Cwl!$G$49:$G$66,'Cxx Selected'!B24,TRUE)</f>
        <v>0</v>
      </c>
      <c r="H24" s="20">
        <f t="shared" si="0"/>
        <v>-3.1974423109204508E-14</v>
      </c>
      <c r="I24">
        <f>H24*Inputs!$B$4/2</f>
        <v>-2.2699878228436815E-13</v>
      </c>
    </row>
    <row r="26" spans="1:9" x14ac:dyDescent="0.25">
      <c r="C26" s="16">
        <v>1</v>
      </c>
      <c r="D26" s="16">
        <v>2</v>
      </c>
      <c r="E26" s="16">
        <v>3</v>
      </c>
      <c r="F26" s="16">
        <v>4</v>
      </c>
    </row>
    <row r="27" spans="1:9" x14ac:dyDescent="0.25">
      <c r="A27">
        <f>A4</f>
        <v>0</v>
      </c>
      <c r="B27" s="13">
        <f>'Cwl Opt2 Calcs'!H21</f>
        <v>8.0029988161484222E-3</v>
      </c>
      <c r="C27">
        <f>'Cwl Opt1 Calcs'!K24</f>
        <v>0.60814500000000005</v>
      </c>
      <c r="D27">
        <f>'Cwl Opt2 Calcs'!I21</f>
        <v>0.60814500000000005</v>
      </c>
      <c r="E27">
        <f>'Cwl Opt3 Calcs'!I33</f>
        <v>0.60814500000000005</v>
      </c>
      <c r="F27">
        <f>_xll.Spline(Cwl!$F$49:$F$66,Cwl!$G$49:$G$66,'Cxx Selected'!B27,TRUE)</f>
        <v>0.73767026745624298</v>
      </c>
      <c r="H27" s="20">
        <f>VLOOKUP(A27,$A$26:$F$47,$H$3,TRUE)</f>
        <v>0.60814500000000005</v>
      </c>
    </row>
    <row r="28" spans="1:9" x14ac:dyDescent="0.25">
      <c r="A28">
        <f t="shared" ref="A28:A47" si="1">A5</f>
        <v>1</v>
      </c>
      <c r="B28" s="13">
        <f>'Cwl Opt2 Calcs'!H22</f>
        <v>5.5713464218296628E-2</v>
      </c>
      <c r="C28">
        <f>'Cwl Opt1 Calcs'!K25</f>
        <v>0.7149726843913502</v>
      </c>
      <c r="D28">
        <f>'Cwl Opt2 Calcs'!I22</f>
        <v>0.77066853818811043</v>
      </c>
      <c r="E28">
        <f>'Cwl Opt3 Calcs'!I34</f>
        <v>0.66925327285799885</v>
      </c>
      <c r="F28">
        <f>_xll.Spline(Cwl!$F$49:$F$66,Cwl!$G$49:$G$66,'Cxx Selected'!B28,TRUE)</f>
        <v>0.73079639828010168</v>
      </c>
      <c r="H28" s="20">
        <f t="shared" ref="H28:H47" si="2">VLOOKUP(A28,$A$26:$F$47,$H$3,TRUE)</f>
        <v>0.66925327285799885</v>
      </c>
    </row>
    <row r="29" spans="1:9" x14ac:dyDescent="0.25">
      <c r="A29">
        <f t="shared" si="1"/>
        <v>2</v>
      </c>
      <c r="B29" s="13">
        <f>'Cwl Opt2 Calcs'!H23</f>
        <v>0.10342392962044483</v>
      </c>
      <c r="C29">
        <f>'Cwl Opt1 Calcs'!K26</f>
        <v>0.78109592776704762</v>
      </c>
      <c r="D29">
        <f>'Cwl Opt2 Calcs'!I23</f>
        <v>0.82731456912873114</v>
      </c>
      <c r="E29">
        <f>'Cwl Opt3 Calcs'!I35</f>
        <v>0.7277972723334829</v>
      </c>
      <c r="F29">
        <f>_xll.Spline(Cwl!$F$49:$F$66,Cwl!$G$49:$G$66,'Cxx Selected'!B29,TRUE)</f>
        <v>0.76821632377642468</v>
      </c>
      <c r="H29" s="20">
        <f t="shared" si="2"/>
        <v>0.7277972723334829</v>
      </c>
    </row>
    <row r="30" spans="1:9" x14ac:dyDescent="0.25">
      <c r="A30">
        <f t="shared" si="1"/>
        <v>3</v>
      </c>
      <c r="B30" s="13">
        <f>'Cwl Opt2 Calcs'!H24</f>
        <v>0.15113439502259302</v>
      </c>
      <c r="C30">
        <f>'Cwl Opt1 Calcs'!K27</f>
        <v>0.82432248110834339</v>
      </c>
      <c r="D30">
        <f>'Cwl Opt2 Calcs'!I24</f>
        <v>0.8388873874544881</v>
      </c>
      <c r="E30">
        <f>'Cwl Opt3 Calcs'!I36</f>
        <v>0.78484025589652306</v>
      </c>
      <c r="F30">
        <f>_xll.Spline(Cwl!$F$49:$F$66,Cwl!$G$49:$G$66,'Cxx Selected'!B30,TRUE)</f>
        <v>0.82751668936886769</v>
      </c>
      <c r="H30" s="20">
        <f t="shared" si="2"/>
        <v>0.78484025589652306</v>
      </c>
    </row>
    <row r="31" spans="1:9" x14ac:dyDescent="0.25">
      <c r="A31">
        <f t="shared" si="1"/>
        <v>4</v>
      </c>
      <c r="B31" s="13">
        <f>'Cwl Opt2 Calcs'!H25</f>
        <v>0.19884486042474125</v>
      </c>
      <c r="C31">
        <f>'Cwl Opt1 Calcs'!K28</f>
        <v>0.85687702582528769</v>
      </c>
      <c r="D31">
        <f>'Cwl Opt2 Calcs'!I25</f>
        <v>0.84188719619437435</v>
      </c>
      <c r="E31">
        <f>'Cwl Opt3 Calcs'!I37</f>
        <v>0.83969717409136657</v>
      </c>
      <c r="F31">
        <f>_xll.Spline(Cwl!$F$49:$F$66,Cwl!$G$49:$G$66,'Cxx Selected'!B31,TRUE)</f>
        <v>0.88628414048108717</v>
      </c>
      <c r="H31" s="20">
        <f t="shared" si="2"/>
        <v>0.83969717409136657</v>
      </c>
    </row>
    <row r="32" spans="1:9" x14ac:dyDescent="0.25">
      <c r="A32">
        <f t="shared" si="1"/>
        <v>5</v>
      </c>
      <c r="B32" s="13">
        <f>'Cwl Opt2 Calcs'!H26</f>
        <v>0.24655532582688947</v>
      </c>
      <c r="C32">
        <f>'Cwl Opt1 Calcs'!K29</f>
        <v>0.88615828682813158</v>
      </c>
      <c r="D32">
        <f>'Cwl Opt2 Calcs'!I26</f>
        <v>0.85439069676975332</v>
      </c>
      <c r="E32">
        <f>'Cwl Opt3 Calcs'!I38</f>
        <v>0.89050120538174493</v>
      </c>
      <c r="F32">
        <f>_xll.Spline(Cwl!$F$49:$F$66,Cwl!$G$49:$G$66,'Cxx Selected'!B32,TRUE)</f>
        <v>0.92719400185884127</v>
      </c>
      <c r="H32" s="20">
        <f t="shared" si="2"/>
        <v>0.89050120538174493</v>
      </c>
    </row>
    <row r="33" spans="1:8" x14ac:dyDescent="0.25">
      <c r="A33">
        <f t="shared" si="1"/>
        <v>6</v>
      </c>
      <c r="B33" s="13">
        <f>'Cwl Opt2 Calcs'!H27</f>
        <v>0.29426579122903762</v>
      </c>
      <c r="C33">
        <f>'Cwl Opt1 Calcs'!K30</f>
        <v>0.91549614559872572</v>
      </c>
      <c r="D33">
        <f>'Cwl Opt2 Calcs'!I27</f>
        <v>0.88124854873374492</v>
      </c>
      <c r="E33">
        <f>'Cwl Opt3 Calcs'!I39</f>
        <v>0.93469629148079625</v>
      </c>
      <c r="F33">
        <f>_xll.Spline(Cwl!$F$49:$F$66,Cwl!$G$49:$G$66,'Cxx Selected'!B33,TRUE)</f>
        <v>0.95812203655120376</v>
      </c>
      <c r="H33" s="20">
        <f t="shared" si="2"/>
        <v>0.93469629148079625</v>
      </c>
    </row>
    <row r="34" spans="1:8" x14ac:dyDescent="0.25">
      <c r="A34">
        <f t="shared" si="1"/>
        <v>7</v>
      </c>
      <c r="B34" s="13">
        <f>'Cwl Opt2 Calcs'!H28</f>
        <v>0.34197625663118586</v>
      </c>
      <c r="C34">
        <f>'Cwl Opt1 Calcs'!K31</f>
        <v>0.94490875326191981</v>
      </c>
      <c r="D34">
        <f>'Cwl Opt2 Calcs'!I28</f>
        <v>0.91859969925399954</v>
      </c>
      <c r="E34">
        <f>'Cwl Opt3 Calcs'!I40</f>
        <v>0.96945567316559722</v>
      </c>
      <c r="F34">
        <f>_xll.Spline(Cwl!$F$49:$F$66,Cwl!$G$49:$G$66,'Cxx Selected'!B34,TRUE)</f>
        <v>0.99604097895478583</v>
      </c>
      <c r="H34" s="20">
        <f t="shared" si="2"/>
        <v>0.96945567316559722</v>
      </c>
    </row>
    <row r="35" spans="1:8" x14ac:dyDescent="0.25">
      <c r="A35">
        <f t="shared" si="1"/>
        <v>8</v>
      </c>
      <c r="B35" s="13">
        <f>'Cwl Opt2 Calcs'!H29</f>
        <v>0.38968672203333404</v>
      </c>
      <c r="C35">
        <f>'Cwl Opt1 Calcs'!K32</f>
        <v>0.97185964365696431</v>
      </c>
      <c r="D35">
        <f>'Cwl Opt2 Calcs'!I29</f>
        <v>0.95770258233886119</v>
      </c>
      <c r="E35">
        <f>'Cwl Opt3 Calcs'!I41</f>
        <v>0.99202642657631113</v>
      </c>
      <c r="F35">
        <f>_xll.Spline(Cwl!$F$49:$F$66,Cwl!$G$49:$G$66,'Cxx Selected'!B35,TRUE)</f>
        <v>1.0014495121282267</v>
      </c>
      <c r="H35" s="20">
        <f t="shared" si="2"/>
        <v>0.99202642657631113</v>
      </c>
    </row>
    <row r="36" spans="1:8" x14ac:dyDescent="0.25">
      <c r="A36">
        <f t="shared" si="1"/>
        <v>9</v>
      </c>
      <c r="B36" s="13">
        <f>'Cwl Opt2 Calcs'!H30</f>
        <v>0.43739718743548223</v>
      </c>
      <c r="C36">
        <f>'Cwl Opt1 Calcs'!K33</f>
        <v>0.99201484640890902</v>
      </c>
      <c r="D36">
        <f>'Cwl Opt2 Calcs'!I30</f>
        <v>0.9880831878069134</v>
      </c>
      <c r="E36">
        <f>'Cwl Opt3 Calcs'!I42</f>
        <v>0.99999999999994804</v>
      </c>
      <c r="F36">
        <f>_xll.Spline(Cwl!$F$49:$F$66,Cwl!$G$49:$G$66,'Cxx Selected'!B36,TRUE)</f>
        <v>0.99909124718070241</v>
      </c>
      <c r="H36" s="20">
        <f t="shared" si="2"/>
        <v>0.99999999999994804</v>
      </c>
    </row>
    <row r="37" spans="1:8" x14ac:dyDescent="0.25">
      <c r="A37">
        <f t="shared" si="1"/>
        <v>10</v>
      </c>
      <c r="B37" s="13">
        <f>'Cwl Opt2 Calcs'!H31</f>
        <v>0.48510765283763041</v>
      </c>
      <c r="C37">
        <f>'Cwl Opt1 Calcs'!K34</f>
        <v>1.0000000000000036</v>
      </c>
      <c r="D37">
        <f>'Cwl Opt2 Calcs'!I31</f>
        <v>0.99999999999991185</v>
      </c>
      <c r="E37">
        <f>'Cwl Opt3 Calcs'!I43</f>
        <v>0.9915087511387356</v>
      </c>
      <c r="F37">
        <f>_xll.Spline(Cwl!$F$49:$F$66,Cwl!$G$49:$G$66,'Cxx Selected'!B37,TRUE)</f>
        <v>1.0006769173109933</v>
      </c>
      <c r="H37" s="20">
        <f t="shared" si="2"/>
        <v>0.9915087511387356</v>
      </c>
    </row>
    <row r="38" spans="1:8" x14ac:dyDescent="0.25">
      <c r="A38">
        <f t="shared" si="1"/>
        <v>11</v>
      </c>
      <c r="B38" s="13">
        <f>'Cwl Opt2 Calcs'!H32</f>
        <v>0.53281811823977865</v>
      </c>
      <c r="C38">
        <f>'Cwl Opt1 Calcs'!K35</f>
        <v>0.99015746484109912</v>
      </c>
      <c r="D38">
        <f>'Cwl Opt2 Calcs'!I32</f>
        <v>0.98622580623910527</v>
      </c>
      <c r="E38">
        <f>'Cwl Opt3 Calcs'!I44</f>
        <v>0.96534848486310565</v>
      </c>
      <c r="F38">
        <f>_xll.Spline(Cwl!$F$49:$F$66,Cwl!$G$49:$G$66,'Cxx Selected'!B38,TRUE)</f>
        <v>0.97091342532260394</v>
      </c>
      <c r="H38" s="20">
        <f t="shared" si="2"/>
        <v>0.96534848486310565</v>
      </c>
    </row>
    <row r="39" spans="1:8" x14ac:dyDescent="0.25">
      <c r="A39">
        <f t="shared" si="1"/>
        <v>12</v>
      </c>
      <c r="B39" s="13">
        <f>'Cwl Opt2 Calcs'!H33</f>
        <v>0.58052858364192683</v>
      </c>
      <c r="C39">
        <f>'Cwl Opt1 Calcs'!K36</f>
        <v>0.95730343634304293</v>
      </c>
      <c r="D39">
        <f>'Cwl Opt2 Calcs'!I33</f>
        <v>0.94314637502494747</v>
      </c>
      <c r="E39">
        <f>'Cwl Opt3 Calcs'!I45</f>
        <v>0.92102699144929068</v>
      </c>
      <c r="F39">
        <f>_xll.Spline(Cwl!$F$49:$F$66,Cwl!$G$49:$G$66,'Cxx Selected'!B39,TRUE)</f>
        <v>0.91935019847937705</v>
      </c>
      <c r="H39" s="20">
        <f t="shared" si="2"/>
        <v>0.92102699144929068</v>
      </c>
    </row>
    <row r="40" spans="1:8" x14ac:dyDescent="0.25">
      <c r="A40">
        <f t="shared" si="1"/>
        <v>13</v>
      </c>
      <c r="B40" s="13">
        <f>'Cwl Opt2 Calcs'!H34</f>
        <v>0.62823904904407513</v>
      </c>
      <c r="C40">
        <f>'Cwl Opt1 Calcs'!K37</f>
        <v>0.89748505798808642</v>
      </c>
      <c r="D40">
        <f>'Cwl Opt2 Calcs'!I34</f>
        <v>0.87117600398016393</v>
      </c>
      <c r="E40">
        <f>'Cwl Opt3 Calcs'!I46</f>
        <v>0.8587385853015379</v>
      </c>
      <c r="F40">
        <f>_xll.Spline(Cwl!$F$49:$F$66,Cwl!$G$49:$G$66,'Cxx Selected'!B40,TRUE)</f>
        <v>0.86960150058260921</v>
      </c>
      <c r="H40" s="20">
        <f t="shared" si="2"/>
        <v>0.8587385853015379</v>
      </c>
    </row>
    <row r="41" spans="1:8" x14ac:dyDescent="0.25">
      <c r="A41">
        <f t="shared" si="1"/>
        <v>14</v>
      </c>
      <c r="B41" s="13">
        <f>'Cwl Opt2 Calcs'!H35</f>
        <v>0.67594951444622331</v>
      </c>
      <c r="C41">
        <f>'Cwl Opt1 Calcs'!K38</f>
        <v>0.80873753440128393</v>
      </c>
      <c r="D41">
        <f>'Cwl Opt2 Calcs'!I35</f>
        <v>0.77448993753629836</v>
      </c>
      <c r="E41">
        <f>'Cwl Opt3 Calcs'!I47</f>
        <v>0.77926464415892849</v>
      </c>
      <c r="F41">
        <f>_xll.Spline(Cwl!$F$49:$F$66,Cwl!$G$49:$G$66,'Cxx Selected'!B41,TRUE)</f>
        <v>0.80289445336322196</v>
      </c>
      <c r="H41" s="20">
        <f t="shared" si="2"/>
        <v>0.77926464415892849</v>
      </c>
    </row>
    <row r="42" spans="1:8" x14ac:dyDescent="0.25">
      <c r="A42">
        <f t="shared" si="1"/>
        <v>15</v>
      </c>
      <c r="B42" s="13">
        <f>'Cwl Opt2 Calcs'!H36</f>
        <v>0.72365997984837138</v>
      </c>
      <c r="C42">
        <f>'Cwl Opt1 Calcs'!K39</f>
        <v>0.69184124442187489</v>
      </c>
      <c r="D42">
        <f>'Cwl Opt2 Calcs'!I36</f>
        <v>0.66007365436348664</v>
      </c>
      <c r="E42">
        <f>'Cwl Opt3 Calcs'!I48</f>
        <v>0.68380014878681705</v>
      </c>
      <c r="F42">
        <f>_xll.Spline(Cwl!$F$49:$F$66,Cwl!$G$49:$G$66,'Cxx Selected'!B42,TRUE)</f>
        <v>0.71327942788611576</v>
      </c>
      <c r="H42" s="20">
        <f t="shared" si="2"/>
        <v>0.68380014878681705</v>
      </c>
    </row>
    <row r="43" spans="1:8" x14ac:dyDescent="0.25">
      <c r="A43">
        <f t="shared" si="1"/>
        <v>16</v>
      </c>
      <c r="B43" s="13">
        <f>'Cwl Opt2 Calcs'!H37</f>
        <v>0.77137044525051968</v>
      </c>
      <c r="C43">
        <f>'Cwl Opt1 Calcs'!K40</f>
        <v>0.55107885417471891</v>
      </c>
      <c r="D43">
        <f>'Cwl Opt2 Calcs'!I37</f>
        <v>0.53608902454377905</v>
      </c>
      <c r="E43">
        <f>'Cwl Opt3 Calcs'!I49</f>
        <v>0.57370622315288178</v>
      </c>
      <c r="F43">
        <f>_xll.Spline(Cwl!$F$49:$F$66,Cwl!$G$49:$G$66,'Cxx Selected'!B43,TRUE)</f>
        <v>0.60770094288861021</v>
      </c>
      <c r="H43" s="20">
        <f t="shared" si="2"/>
        <v>0.57370622315288178</v>
      </c>
    </row>
    <row r="44" spans="1:8" x14ac:dyDescent="0.25">
      <c r="A44">
        <f t="shared" si="1"/>
        <v>17</v>
      </c>
      <c r="B44" s="13">
        <f>'Cwl Opt2 Calcs'!H38</f>
        <v>0.81908091065266786</v>
      </c>
      <c r="C44">
        <f>'Cwl Opt1 Calcs'!K41</f>
        <v>0.39499243014166296</v>
      </c>
      <c r="D44">
        <f>'Cwl Opt2 Calcs'!I38</f>
        <v>0.40955733648778292</v>
      </c>
      <c r="E44">
        <f>'Cwl Opt3 Calcs'!I50</f>
        <v>0.45018867508778548</v>
      </c>
      <c r="F44">
        <f>_xll.Spline(Cwl!$F$49:$F$66,Cwl!$G$49:$G$66,'Cxx Selected'!B44,TRUE)</f>
        <v>0.50946995858545807</v>
      </c>
      <c r="H44" s="20">
        <f t="shared" si="2"/>
        <v>0.45018867508778548</v>
      </c>
    </row>
    <row r="45" spans="1:8" x14ac:dyDescent="0.25">
      <c r="A45">
        <f t="shared" si="1"/>
        <v>18</v>
      </c>
      <c r="B45" s="13">
        <f>'Cwl Opt2 Calcs'!H39</f>
        <v>0.86679137605481604</v>
      </c>
      <c r="C45">
        <f>'Cwl Opt1 Calcs'!K42</f>
        <v>0.23714055223295813</v>
      </c>
      <c r="D45">
        <f>'Cwl Opt2 Calcs'!I39</f>
        <v>0.28335919359457762</v>
      </c>
      <c r="E45">
        <f>'Cwl Opt3 Calcs'!I51</f>
        <v>0.31390253743044694</v>
      </c>
      <c r="F45">
        <f>_xll.Spline(Cwl!$F$49:$F$66,Cwl!$G$49:$G$66,'Cxx Selected'!B45,TRUE)</f>
        <v>0.3873216626228469</v>
      </c>
      <c r="H45" s="20">
        <f t="shared" si="2"/>
        <v>0.31390253743044694</v>
      </c>
    </row>
    <row r="46" spans="1:8" x14ac:dyDescent="0.25">
      <c r="A46">
        <f t="shared" si="1"/>
        <v>19</v>
      </c>
      <c r="B46" s="13">
        <f>'Cwl Opt2 Calcs'!H40</f>
        <v>0.91450184145696423</v>
      </c>
      <c r="C46">
        <f>'Cwl Opt1 Calcs'!K43</f>
        <v>9.6855426858642346E-2</v>
      </c>
      <c r="D46">
        <f>'Cwl Opt2 Calcs'!I40</f>
        <v>0.15255128065530954</v>
      </c>
      <c r="E46">
        <f>'Cwl Opt3 Calcs'!I52</f>
        <v>0.16448260965793526</v>
      </c>
      <c r="F46">
        <f>_xll.Spline(Cwl!$F$49:$F$66,Cwl!$G$49:$G$66,'Cxx Selected'!B46,TRUE)</f>
        <v>0.22803030222769871</v>
      </c>
      <c r="H46" s="20">
        <f t="shared" si="2"/>
        <v>0.16448260965793526</v>
      </c>
    </row>
    <row r="47" spans="1:8" x14ac:dyDescent="0.25">
      <c r="A47">
        <f t="shared" si="1"/>
        <v>20</v>
      </c>
      <c r="B47" s="13">
        <f>'Cwl Opt2 Calcs'!H41</f>
        <v>0.96221230685911252</v>
      </c>
      <c r="C47">
        <f>'Cwl Opt1 Calcs'!K44</f>
        <v>0</v>
      </c>
      <c r="D47">
        <f>'Cwl Opt2 Calcs'!I41</f>
        <v>-1.5631940186722204E-13</v>
      </c>
      <c r="E47">
        <f>'Cwl Opt3 Calcs'!I53</f>
        <v>-3.1974423109204508E-14</v>
      </c>
      <c r="F47">
        <f>_xll.Spline(Cwl!$F$49:$F$66,Cwl!$G$49:$G$66,'Cxx Selected'!B47,TRUE)</f>
        <v>0.10810890427441391</v>
      </c>
      <c r="H47" s="20">
        <f t="shared" si="2"/>
        <v>-3.1974423109204508E-14</v>
      </c>
    </row>
    <row r="49" spans="1:9" x14ac:dyDescent="0.25">
      <c r="A49" t="s">
        <v>357</v>
      </c>
      <c r="B49" s="16" t="s">
        <v>30</v>
      </c>
      <c r="C49" s="16" t="s">
        <v>31</v>
      </c>
    </row>
    <row r="50" spans="1:9" x14ac:dyDescent="0.25">
      <c r="C50" s="16" t="s">
        <v>345</v>
      </c>
      <c r="D50" s="16" t="s">
        <v>346</v>
      </c>
      <c r="E50" s="16" t="s">
        <v>347</v>
      </c>
      <c r="F50" s="16" t="s">
        <v>348</v>
      </c>
      <c r="H50" s="16" t="s">
        <v>349</v>
      </c>
    </row>
    <row r="51" spans="1:9" x14ac:dyDescent="0.25">
      <c r="A51" s="16">
        <v>1</v>
      </c>
      <c r="B51" s="16">
        <v>2</v>
      </c>
      <c r="C51" s="16">
        <v>3</v>
      </c>
      <c r="D51" s="16">
        <v>4</v>
      </c>
      <c r="E51" s="16">
        <v>5</v>
      </c>
      <c r="F51" s="16">
        <v>6</v>
      </c>
      <c r="H51" s="228">
        <f>CWD!D76+2</f>
        <v>5</v>
      </c>
    </row>
    <row r="52" spans="1:9" x14ac:dyDescent="0.25">
      <c r="A52">
        <v>0</v>
      </c>
      <c r="B52">
        <v>0</v>
      </c>
      <c r="C52" s="20">
        <f>'CWD Opt1 Calcs'!B26</f>
        <v>0.6</v>
      </c>
      <c r="D52" s="20">
        <f>'CWD Opt2 Calcs'!B21</f>
        <v>0.6</v>
      </c>
      <c r="E52" s="20">
        <f>'CWD Opt3 Calcs'!B26</f>
        <v>0.60814500000000005</v>
      </c>
      <c r="F52" s="20">
        <f>_xll.Spline(CWD!$F$52:$F$72,CWD!$G$52:$G$72,'Cxx Selected'!B52,TRUE)</f>
        <v>0.54983684772420549</v>
      </c>
      <c r="H52" s="20">
        <f>VLOOKUP(A52,$A$51:$F$72,$H$51,TRUE)</f>
        <v>0.60814500000000005</v>
      </c>
      <c r="I52">
        <f>H52*CWD!$H$42</f>
        <v>4.3174562987685938</v>
      </c>
    </row>
    <row r="53" spans="1:9" x14ac:dyDescent="0.25">
      <c r="A53">
        <v>1</v>
      </c>
      <c r="B53">
        <v>0.05</v>
      </c>
      <c r="C53" s="20">
        <f>'CWD Opt1 Calcs'!B27</f>
        <v>0.71393558022071069</v>
      </c>
      <c r="D53" s="20">
        <f>'CWD Opt2 Calcs'!B22</f>
        <v>0.73913608975601319</v>
      </c>
      <c r="E53" s="20">
        <f>'CWD Opt3 Calcs'!B27</f>
        <v>0.68976171921482166</v>
      </c>
      <c r="F53" s="20">
        <f>_xll.Spline(CWD!$F$52:$F$72,CWD!$G$52:$G$72,'Cxx Selected'!B53,TRUE)</f>
        <v>0.64912987330653871</v>
      </c>
      <c r="H53" s="20">
        <f t="shared" ref="H53:H72" si="3">VLOOKUP(A53,$A$51:$F$72,$H$51,TRUE)</f>
        <v>0.68976171921482166</v>
      </c>
      <c r="I53">
        <f>H53*CWD!$H$42</f>
        <v>4.8968849193424031</v>
      </c>
    </row>
    <row r="54" spans="1:9" x14ac:dyDescent="0.25">
      <c r="A54">
        <v>2</v>
      </c>
      <c r="B54">
        <v>0.1</v>
      </c>
      <c r="C54" s="20">
        <f>'CWD Opt1 Calcs'!B28</f>
        <v>0.79142098237550451</v>
      </c>
      <c r="D54" s="20">
        <f>'CWD Opt2 Calcs'!B23</f>
        <v>0.81233337051471288</v>
      </c>
      <c r="E54" s="20">
        <f>'CWD Opt3 Calcs'!B28</f>
        <v>0.7684925722926359</v>
      </c>
      <c r="F54" s="20">
        <f>_xll.Spline(CWD!$F$52:$F$72,CWD!$G$52:$G$72,'Cxx Selected'!B54,TRUE)</f>
        <v>0.71931592806741895</v>
      </c>
      <c r="H54" s="20">
        <f t="shared" si="3"/>
        <v>0.7684925722926359</v>
      </c>
      <c r="I54">
        <f>H54*CWD!$H$42</f>
        <v>5.4558256613171521</v>
      </c>
    </row>
    <row r="55" spans="1:9" x14ac:dyDescent="0.25">
      <c r="A55">
        <v>3</v>
      </c>
      <c r="B55">
        <v>0.15</v>
      </c>
      <c r="C55" s="20">
        <f>'CWD Opt1 Calcs'!B29</f>
        <v>0.84501195917185856</v>
      </c>
      <c r="D55" s="20">
        <f>'CWD Opt2 Calcs'!B24</f>
        <v>0.85160209176221446</v>
      </c>
      <c r="E55" s="20">
        <f>'CWD Opt3 Calcs'!B29</f>
        <v>0.8386870734197055</v>
      </c>
      <c r="F55" s="20">
        <f>_xll.Spline(CWD!$F$52:$F$72,CWD!$G$52:$G$72,'Cxx Selected'!B55,TRUE)</f>
        <v>0.80039418356022085</v>
      </c>
      <c r="H55" s="20">
        <f t="shared" si="3"/>
        <v>0.8386870734197055</v>
      </c>
      <c r="I55">
        <f>H55*CWD!$H$42</f>
        <v>5.9541635429571977</v>
      </c>
    </row>
    <row r="56" spans="1:9" x14ac:dyDescent="0.25">
      <c r="A56">
        <v>4</v>
      </c>
      <c r="B56">
        <v>0.2</v>
      </c>
      <c r="C56" s="20">
        <f>'CWD Opt1 Calcs'!B30</f>
        <v>0.88392015722590567</v>
      </c>
      <c r="D56" s="20">
        <f>'CWD Opt2 Calcs'!B25</f>
        <v>0.87713776107251595</v>
      </c>
      <c r="E56" s="20">
        <f>'CWD Opt3 Calcs'!B30</f>
        <v>0.89725938056030208</v>
      </c>
      <c r="F56" s="20">
        <f>_xll.Spline(CWD!$F$52:$F$72,CWD!$G$52:$G$72,'Cxx Selected'!B56,TRUE)</f>
        <v>0.86802596484750283</v>
      </c>
      <c r="H56" s="20">
        <f t="shared" si="3"/>
        <v>0.89725938056030208</v>
      </c>
      <c r="I56">
        <f>H56*CWD!$H$42</f>
        <v>6.3699909795020631</v>
      </c>
    </row>
    <row r="57" spans="1:9" x14ac:dyDescent="0.25">
      <c r="A57">
        <v>5</v>
      </c>
      <c r="B57">
        <v>0.25</v>
      </c>
      <c r="C57" s="20">
        <f>'CWD Opt1 Calcs'!B31</f>
        <v>0.91439595105070526</v>
      </c>
      <c r="D57" s="20">
        <f>'CWD Opt2 Calcs'!B26</f>
        <v>0.90002217990597089</v>
      </c>
      <c r="E57" s="20">
        <f>'CWD Opt3 Calcs'!B31</f>
        <v>0.94299851733482409</v>
      </c>
      <c r="F57" s="20">
        <f>_xll.Spline(CWD!$F$52:$F$72,CWD!$G$52:$G$72,'Cxx Selected'!B57,TRUE)</f>
        <v>0.9149211941611235</v>
      </c>
      <c r="H57" s="20">
        <f t="shared" si="3"/>
        <v>0.94299851733482409</v>
      </c>
      <c r="I57">
        <f>H57*CWD!$H$42</f>
        <v>6.6947107817982232</v>
      </c>
    </row>
    <row r="58" spans="1:9" x14ac:dyDescent="0.25">
      <c r="A58">
        <v>6</v>
      </c>
      <c r="B58">
        <v>0.3</v>
      </c>
      <c r="C58" s="20">
        <f>'CWD Opt1 Calcs'!B32</f>
        <v>0.94011127704451303</v>
      </c>
      <c r="D58" s="20">
        <f>'CWD Opt2 Calcs'!B27</f>
        <v>0.92461538583307035</v>
      </c>
      <c r="E58" s="20">
        <f>'CWD Opt3 Calcs'!B32</f>
        <v>0.97595666906991263</v>
      </c>
      <c r="F58" s="20">
        <f>_xll.Spline(CWD!$F$52:$F$72,CWD!$G$52:$G$72,'Cxx Selected'!B58,TRUE)</f>
        <v>0.95485952688520637</v>
      </c>
      <c r="H58" s="20">
        <f t="shared" si="3"/>
        <v>0.97595666906991263</v>
      </c>
      <c r="I58">
        <f>H58*CWD!$H$42</f>
        <v>6.9286934336401842</v>
      </c>
    </row>
    <row r="59" spans="1:9" x14ac:dyDescent="0.25">
      <c r="A59">
        <v>7</v>
      </c>
      <c r="B59">
        <v>0.35</v>
      </c>
      <c r="C59" s="20">
        <f>'CWD Opt1 Calcs'!B33</f>
        <v>0.96254246747905214</v>
      </c>
      <c r="D59" s="20">
        <f>'CWD Opt2 Calcs'!B28</f>
        <v>0.95063850118352555</v>
      </c>
      <c r="E59" s="20">
        <f>'CWD Opt3 Calcs'!B33</f>
        <v>0.99691555302056334</v>
      </c>
      <c r="F59" s="20">
        <f>_xll.Spline(CWD!$F$52:$F$72,CWD!$G$52:$G$72,'Cxx Selected'!B59,TRUE)</f>
        <v>0.98541228732875796</v>
      </c>
      <c r="H59" s="20">
        <f t="shared" si="3"/>
        <v>0.99691555302056334</v>
      </c>
      <c r="I59">
        <f>H59*CWD!$H$42</f>
        <v>7.077488647820843</v>
      </c>
    </row>
    <row r="60" spans="1:9" x14ac:dyDescent="0.25">
      <c r="A60">
        <v>8</v>
      </c>
      <c r="B60">
        <v>0.4</v>
      </c>
      <c r="C60" s="20">
        <f>'CWD Opt1 Calcs'!B34</f>
        <v>0.98135308448778558</v>
      </c>
      <c r="D60" s="20">
        <f>'CWD Opt2 Calcs'!B29</f>
        <v>0.97494748812066412</v>
      </c>
      <c r="E60" s="20">
        <f>'CWD Opt3 Calcs'!B34</f>
        <v>1.0069308627642357</v>
      </c>
      <c r="F60" s="20">
        <f>_xll.Spline(CWD!$F$52:$F$72,CWD!$G$52:$G$72,'Cxx Selected'!B60,TRUE)</f>
        <v>0.99037343336497308</v>
      </c>
      <c r="H60" s="20">
        <f t="shared" si="3"/>
        <v>1.0069308627642357</v>
      </c>
      <c r="I60">
        <f>H60*CWD!$H$42</f>
        <v>7.1485912008911416</v>
      </c>
    </row>
    <row r="61" spans="1:9" x14ac:dyDescent="0.25">
      <c r="A61">
        <v>9</v>
      </c>
      <c r="B61">
        <v>0.45</v>
      </c>
      <c r="C61" s="20">
        <f>'CWD Opt1 Calcs'!B35</f>
        <v>0.99477675405418442</v>
      </c>
      <c r="D61" s="20">
        <f>'CWD Opt2 Calcs'!B30</f>
        <v>0.99299781014112853</v>
      </c>
      <c r="E61" s="20">
        <f>'CWD Opt3 Calcs'!B35</f>
        <v>1.0069547867669562</v>
      </c>
      <c r="F61" s="20">
        <f>_xll.Spline(CWD!$F$52:$F$72,CWD!$G$52:$G$72,'Cxx Selected'!B61,TRUE)</f>
        <v>0.99505528258707721</v>
      </c>
      <c r="H61" s="20">
        <f t="shared" si="3"/>
        <v>1.0069547867669562</v>
      </c>
      <c r="I61">
        <f>H61*CWD!$H$42</f>
        <v>7.1487610466289793</v>
      </c>
    </row>
    <row r="62" spans="1:9" x14ac:dyDescent="0.25">
      <c r="A62">
        <v>10</v>
      </c>
      <c r="B62">
        <v>0.5</v>
      </c>
      <c r="C62" s="20">
        <f>'CWD Opt1 Calcs'!B36</f>
        <v>1.0000000000000009</v>
      </c>
      <c r="D62" s="20">
        <f>'CWD Opt2 Calcs'!B31</f>
        <v>0.9999999999998761</v>
      </c>
      <c r="E62" s="20">
        <f>'CWD Opt3 Calcs'!B36</f>
        <v>0.99753660112142484</v>
      </c>
      <c r="F62" s="20">
        <f>_xll.Spline(CWD!$F$52:$F$72,CWD!$G$52:$G$72,'Cxx Selected'!B62,TRUE)</f>
        <v>1</v>
      </c>
      <c r="H62" s="20">
        <f t="shared" si="3"/>
        <v>0.99753660112142484</v>
      </c>
      <c r="I62">
        <f>H62*CWD!$H$42</f>
        <v>7.0818977082174639</v>
      </c>
    </row>
    <row r="63" spans="1:9" x14ac:dyDescent="0.25">
      <c r="A63">
        <v>11</v>
      </c>
      <c r="B63">
        <v>0.55000000000000004</v>
      </c>
      <c r="C63" s="20">
        <f>'CWD Opt1 Calcs'!B37</f>
        <v>0.99354507797353764</v>
      </c>
      <c r="D63" s="20">
        <f>'CWD Opt2 Calcs'!B32</f>
        <v>0.99176613406050029</v>
      </c>
      <c r="E63" s="20">
        <f>'CWD Opt3 Calcs'!B37</f>
        <v>0.97860133645710967</v>
      </c>
      <c r="F63" s="20">
        <f>_xll.Spline(CWD!$F$52:$F$72,CWD!$G$52:$G$72,'Cxx Selected'!B63,TRUE)</f>
        <v>0.97652316833620778</v>
      </c>
      <c r="H63" s="20">
        <f t="shared" si="3"/>
        <v>0.97860133645710967</v>
      </c>
      <c r="I63">
        <f>H63*CWD!$H$42</f>
        <v>6.9474689491323804</v>
      </c>
    </row>
    <row r="64" spans="1:9" x14ac:dyDescent="0.25">
      <c r="A64">
        <v>12</v>
      </c>
      <c r="B64">
        <v>0.6</v>
      </c>
      <c r="C64" s="20">
        <f>'CWD Opt1 Calcs'!B38</f>
        <v>0.97165280943791832</v>
      </c>
      <c r="D64" s="20">
        <f>'CWD Opt2 Calcs'!B33</f>
        <v>0.96524721307083428</v>
      </c>
      <c r="E64" s="20">
        <f>'CWD Opt3 Calcs'!B38</f>
        <v>0.94930651902234553</v>
      </c>
      <c r="F64" s="20">
        <f>_xll.Spline(CWD!$F$52:$F$72,CWD!$G$52:$G$72,'Cxx Selected'!B64,TRUE)</f>
        <v>0.94701098497429048</v>
      </c>
      <c r="H64" s="20">
        <f t="shared" si="3"/>
        <v>0.94930651902234553</v>
      </c>
      <c r="I64">
        <f>H64*CWD!$H$42</f>
        <v>6.7394937227390059</v>
      </c>
    </row>
    <row r="65" spans="1:9" x14ac:dyDescent="0.25">
      <c r="A65">
        <v>13</v>
      </c>
      <c r="B65">
        <v>0.65</v>
      </c>
      <c r="C65" s="20">
        <f>'CWD Opt1 Calcs'!B39</f>
        <v>0.93066541565936056</v>
      </c>
      <c r="D65" s="20">
        <f>'CWD Opt2 Calcs'!B34</f>
        <v>0.91876144936388959</v>
      </c>
      <c r="E65" s="20">
        <f>'CWD Opt3 Calcs'!B39</f>
        <v>0.90797698593842491</v>
      </c>
      <c r="F65" s="20">
        <f>_xll.Spline(CWD!$F$52:$F$72,CWD!$G$52:$G$72,'Cxx Selected'!B65,TRUE)</f>
        <v>0.90938260011366978</v>
      </c>
      <c r="H65" s="20">
        <f t="shared" si="3"/>
        <v>0.90797698593842491</v>
      </c>
      <c r="I65">
        <f>H65*CWD!$H$42</f>
        <v>6.4460794005981716</v>
      </c>
    </row>
    <row r="66" spans="1:9" x14ac:dyDescent="0.25">
      <c r="A66">
        <v>14</v>
      </c>
      <c r="B66">
        <v>0.7</v>
      </c>
      <c r="C66" s="20">
        <f>'CWD Opt1 Calcs'!B40</f>
        <v>0.86740935169544597</v>
      </c>
      <c r="D66" s="20">
        <f>'CWD Opt2 Calcs'!B35</f>
        <v>0.85191346048407679</v>
      </c>
      <c r="E66" s="20">
        <f>'CWD Opt3 Calcs'!B40</f>
        <v>0.85211777462568716</v>
      </c>
      <c r="F66" s="20">
        <f>_xll.Spline(CWD!$F$52:$F$72,CWD!$G$52:$G$72,'Cxx Selected'!B66,TRUE)</f>
        <v>0.84743395972168767</v>
      </c>
      <c r="H66" s="20">
        <f t="shared" si="3"/>
        <v>0.85211777462568716</v>
      </c>
      <c r="I66">
        <f>H66*CWD!$H$42</f>
        <v>6.0495132794816193</v>
      </c>
    </row>
    <row r="67" spans="1:9" x14ac:dyDescent="0.25">
      <c r="A67">
        <v>15</v>
      </c>
      <c r="B67">
        <v>0.75</v>
      </c>
      <c r="C67" s="20">
        <f>'CWD Opt1 Calcs'!B41</f>
        <v>0.77957814038338613</v>
      </c>
      <c r="D67" s="20">
        <f>'CWD Opt2 Calcs'!B36</f>
        <v>0.76520436923874602</v>
      </c>
      <c r="E67" s="20">
        <f>'CWD Opt3 Calcs'!B41</f>
        <v>0.77850508640160254</v>
      </c>
      <c r="F67" s="20">
        <f>_xll.Spline(CWD!$F$52:$F$72,CWD!$G$52:$G$72,'Cxx Selected'!B67,TRUE)</f>
        <v>0.77505465575891785</v>
      </c>
      <c r="H67" s="20">
        <f t="shared" si="3"/>
        <v>0.77850508640160254</v>
      </c>
      <c r="I67">
        <f>H67*CWD!$H$42</f>
        <v>5.5269083670966408</v>
      </c>
    </row>
    <row r="68" spans="1:9" x14ac:dyDescent="0.25">
      <c r="A68">
        <v>16</v>
      </c>
      <c r="B68">
        <v>0.8</v>
      </c>
      <c r="C68" s="20">
        <f>'CWD Opt1 Calcs'!B42</f>
        <v>0.66611520632830468</v>
      </c>
      <c r="D68" s="20">
        <f>'CWD Opt2 Calcs'!B37</f>
        <v>0.65933281017503642</v>
      </c>
      <c r="E68" s="20">
        <f>'CWD Opt3 Calcs'!B42</f>
        <v>0.68335532425086365</v>
      </c>
      <c r="F68" s="20">
        <f>_xll.Spline(CWD!$F$52:$F$72,CWD!$G$52:$G$72,'Cxx Selected'!B68,TRUE)</f>
        <v>0.67026423664267076</v>
      </c>
      <c r="H68" s="20">
        <f t="shared" si="3"/>
        <v>0.68335532425086365</v>
      </c>
      <c r="I68">
        <f>H68*CWD!$H$42</f>
        <v>4.8514034465200657</v>
      </c>
    </row>
    <row r="69" spans="1:9" x14ac:dyDescent="0.25">
      <c r="A69">
        <v>17</v>
      </c>
      <c r="B69">
        <v>0.85</v>
      </c>
      <c r="C69" s="20">
        <f>'CWD Opt1 Calcs'!B43</f>
        <v>0.52759670989149932</v>
      </c>
      <c r="D69" s="20">
        <f>'CWD Opt2 Calcs'!B38</f>
        <v>0.53418684248199</v>
      </c>
      <c r="E69" s="20">
        <f>'CWD Opt3 Calcs'!B43</f>
        <v>0.56257220476744862</v>
      </c>
      <c r="F69" s="20">
        <f>_xll.Spline(CWD!$F$52:$F$72,CWD!$G$52:$G$72,'Cxx Selected'!B69,TRUE)</f>
        <v>0.56491266525654549</v>
      </c>
      <c r="H69" s="20">
        <f t="shared" si="3"/>
        <v>0.56257220476744862</v>
      </c>
      <c r="I69">
        <f>H69*CWD!$H$42</f>
        <v>3.9939174193413671</v>
      </c>
    </row>
    <row r="70" spans="1:9" x14ac:dyDescent="0.25">
      <c r="A70">
        <v>18</v>
      </c>
      <c r="B70">
        <v>0.9</v>
      </c>
      <c r="C70" s="20">
        <f>'CWD Opt1 Calcs'!B44</f>
        <v>0.36661438117870127</v>
      </c>
      <c r="D70" s="20">
        <f>'CWD Opt2 Calcs'!B39</f>
        <v>0.38752676931809305</v>
      </c>
      <c r="E70" s="20">
        <f>'CWD Opt3 Calcs'!B44</f>
        <v>0.41207194426871263</v>
      </c>
      <c r="F70" s="20">
        <f>_xll.Spline(CWD!$F$52:$F$72,CWD!$G$52:$G$72,'Cxx Selected'!B70,TRUE)</f>
        <v>0.4278573881952214</v>
      </c>
      <c r="H70" s="20">
        <f t="shared" si="3"/>
        <v>0.41207194426871263</v>
      </c>
      <c r="I70">
        <f>H70*CWD!$H$42</f>
        <v>2.9254579275152701</v>
      </c>
    </row>
    <row r="71" spans="1:9" x14ac:dyDescent="0.25">
      <c r="A71">
        <v>19</v>
      </c>
      <c r="B71">
        <v>0.95</v>
      </c>
      <c r="C71" s="20">
        <f>'CWD Opt1 Calcs'!B45</f>
        <v>0.18815835402838221</v>
      </c>
      <c r="D71" s="20">
        <f>'CWD Opt2 Calcs'!B40</f>
        <v>0.21335886356386879</v>
      </c>
      <c r="E71" s="20">
        <f>'CWD Opt3 Calcs'!B45</f>
        <v>0.22818651908145426</v>
      </c>
      <c r="F71" s="20">
        <f>_xll.Spline(CWD!$F$52:$F$72,CWD!$G$52:$G$72,'Cxx Selected'!B71,TRUE)</f>
        <v>0.29653314100730277</v>
      </c>
      <c r="H71" s="20">
        <f t="shared" si="3"/>
        <v>0.22818651908145426</v>
      </c>
      <c r="I71">
        <f>H71*CWD!$H$42</f>
        <v>1.6199842539234961</v>
      </c>
    </row>
    <row r="72" spans="1:9" x14ac:dyDescent="0.25">
      <c r="A72">
        <v>20</v>
      </c>
      <c r="B72">
        <v>1</v>
      </c>
      <c r="C72" s="20">
        <f>'CWD Opt1 Calcs'!B46</f>
        <v>-1.4210854715202004E-14</v>
      </c>
      <c r="D72" s="20">
        <f>'CWD Opt2 Calcs'!B41</f>
        <v>1.9895196601282805E-13</v>
      </c>
      <c r="E72" s="20">
        <f>'CWD Opt3 Calcs'!B46</f>
        <v>8.1449999999776423E-3</v>
      </c>
      <c r="F72" s="20">
        <f>_xll.Spline(CWD!$F$52:$F$72,CWD!$G$52:$G$72,'Cxx Selected'!B72,TRUE)</f>
        <v>0</v>
      </c>
      <c r="H72" s="20">
        <f t="shared" si="3"/>
        <v>8.1449999999776423E-3</v>
      </c>
      <c r="I72">
        <f>H72*CWD!$H$42</f>
        <v>5.782450164578129E-2</v>
      </c>
    </row>
    <row r="74" spans="1:9" x14ac:dyDescent="0.25">
      <c r="A74" t="s">
        <v>368</v>
      </c>
      <c r="B74" s="16" t="s">
        <v>30</v>
      </c>
      <c r="C74" s="16" t="s">
        <v>31</v>
      </c>
    </row>
    <row r="75" spans="1:9" x14ac:dyDescent="0.25">
      <c r="C75" s="16" t="s">
        <v>345</v>
      </c>
      <c r="D75" s="16" t="s">
        <v>346</v>
      </c>
      <c r="E75" s="16" t="s">
        <v>369</v>
      </c>
      <c r="F75" s="16"/>
      <c r="H75" s="16" t="s">
        <v>349</v>
      </c>
    </row>
    <row r="76" spans="1:9" x14ac:dyDescent="0.25">
      <c r="A76" s="16">
        <v>1</v>
      </c>
      <c r="B76" s="16">
        <v>2</v>
      </c>
      <c r="C76" s="16">
        <v>3</v>
      </c>
      <c r="D76" s="16">
        <v>4</v>
      </c>
      <c r="E76" s="16">
        <v>5</v>
      </c>
      <c r="F76" s="16"/>
      <c r="H76" s="228">
        <f>CMUpr!E76+2</f>
        <v>4</v>
      </c>
    </row>
    <row r="77" spans="1:9" x14ac:dyDescent="0.25">
      <c r="A77">
        <v>0</v>
      </c>
      <c r="B77">
        <v>0</v>
      </c>
      <c r="C77" s="20">
        <f>'Mid Upr WL Opt1 Calcs'!B24</f>
        <v>0.62907250000000003</v>
      </c>
      <c r="D77" s="20">
        <f>'Mid Upr WL Opt2 Calcs'!B21</f>
        <v>0.62907250000000003</v>
      </c>
      <c r="E77" s="20">
        <f>CMUpr!G52</f>
        <v>0</v>
      </c>
      <c r="G77">
        <f>-(1-B77)*Inputs!$B$3</f>
        <v>-126.49353816142404</v>
      </c>
      <c r="H77" s="20">
        <f>VLOOKUP(A77,$A$76:$E$97,$H$76,TRUE)</f>
        <v>0.62907250000000003</v>
      </c>
      <c r="I77">
        <f>H77*CMUpr!$G$36</f>
        <v>4.4660287061590669</v>
      </c>
    </row>
    <row r="78" spans="1:9" x14ac:dyDescent="0.25">
      <c r="A78">
        <v>1</v>
      </c>
      <c r="B78">
        <v>0.05</v>
      </c>
      <c r="C78" s="20">
        <f>'Mid Upr WL Opt1 Calcs'!B25</f>
        <v>0.71243199802632484</v>
      </c>
      <c r="D78" s="20">
        <f>'Mid Upr WL Opt2 Calcs'!B22</f>
        <v>0.71161313340194321</v>
      </c>
      <c r="E78" s="20">
        <f>CMUpr!G53</f>
        <v>0.29653314100730277</v>
      </c>
      <c r="G78">
        <f>-(1-B78)*Inputs!$B$3</f>
        <v>-120.16886125335283</v>
      </c>
      <c r="H78" s="20">
        <f t="shared" ref="H78:H97" si="4">VLOOKUP(A78,$A$76:$E$97,$H$76,TRUE)</f>
        <v>0.71161313340194321</v>
      </c>
      <c r="I78">
        <f>H78*CMUpr!$G$36</f>
        <v>5.0520165504816692</v>
      </c>
    </row>
    <row r="79" spans="1:9" x14ac:dyDescent="0.25">
      <c r="A79">
        <v>2</v>
      </c>
      <c r="B79">
        <v>0.1</v>
      </c>
      <c r="C79" s="20">
        <f>'Mid Upr WL Opt1 Calcs'!B26</f>
        <v>0.77340658107702864</v>
      </c>
      <c r="D79" s="20">
        <f>'Mid Upr WL Opt2 Calcs'!B23</f>
        <v>0.77272705454462598</v>
      </c>
      <c r="E79" s="20">
        <f>CMUpr!G54</f>
        <v>0.4278573881952214</v>
      </c>
      <c r="G79">
        <f>-(1-B79)*Inputs!$B$3</f>
        <v>-113.84418434528163</v>
      </c>
      <c r="H79" s="20">
        <f t="shared" si="4"/>
        <v>0.77272705454462598</v>
      </c>
      <c r="I79">
        <f>H79*CMUpr!$G$36</f>
        <v>5.485887886725366</v>
      </c>
    </row>
    <row r="80" spans="1:9" x14ac:dyDescent="0.25">
      <c r="A80">
        <v>3</v>
      </c>
      <c r="B80">
        <v>0.15</v>
      </c>
      <c r="C80" s="20">
        <f>'Mid Upr WL Opt1 Calcs'!B27</f>
        <v>0.82048402932133802</v>
      </c>
      <c r="D80" s="20">
        <f>'Mid Upr WL Opt2 Calcs'!B24</f>
        <v>0.82026988974442283</v>
      </c>
      <c r="E80" s="20">
        <f>CMUpr!G55</f>
        <v>0.56491266525654549</v>
      </c>
      <c r="G80">
        <f>-(1-B80)*Inputs!$B$3</f>
        <v>-107.51950743721044</v>
      </c>
      <c r="H80" s="20">
        <f t="shared" si="4"/>
        <v>0.82026988974442283</v>
      </c>
      <c r="I80">
        <f>H80*CMUpr!$G$36</f>
        <v>5.8234128409627273</v>
      </c>
    </row>
    <row r="81" spans="1:9" x14ac:dyDescent="0.25">
      <c r="A81">
        <v>4</v>
      </c>
      <c r="B81">
        <v>0.2</v>
      </c>
      <c r="C81" s="20">
        <f>'Mid Upr WL Opt1 Calcs'!B28</f>
        <v>0.85949754703530679</v>
      </c>
      <c r="D81" s="20">
        <f>'Mid Upr WL Opt2 Calcs'!B25</f>
        <v>0.85971793401868424</v>
      </c>
      <c r="E81" s="20">
        <f>CMUpr!G56</f>
        <v>0.67026423664267076</v>
      </c>
      <c r="G81">
        <f>-(1-B81)*Inputs!$B$3</f>
        <v>-101.19483052913924</v>
      </c>
      <c r="H81" s="20">
        <f t="shared" si="4"/>
        <v>0.85971793401868424</v>
      </c>
      <c r="I81">
        <f>H81*CMUpr!$G$36</f>
        <v>6.1034697471709709</v>
      </c>
    </row>
    <row r="82" spans="1:9" x14ac:dyDescent="0.25">
      <c r="A82">
        <v>5</v>
      </c>
      <c r="B82">
        <v>0.25</v>
      </c>
      <c r="C82" s="20">
        <f>'Mid Upr WL Opt1 Calcs'!B29</f>
        <v>0.89395743327998545</v>
      </c>
      <c r="D82" s="20">
        <f>'Mid Upr WL Opt2 Calcs'!B26</f>
        <v>0.89442449418166725</v>
      </c>
      <c r="E82" s="20">
        <f>CMUpr!G57</f>
        <v>0.77505465575891785</v>
      </c>
      <c r="G82">
        <f>-(1-B82)*Inputs!$B$3</f>
        <v>-94.870153621068027</v>
      </c>
      <c r="H82" s="20">
        <f t="shared" si="4"/>
        <v>0.89442449418166725</v>
      </c>
      <c r="I82">
        <f>H82*CMUpr!$G$36</f>
        <v>6.3498650259026252</v>
      </c>
    </row>
    <row r="83" spans="1:9" x14ac:dyDescent="0.25">
      <c r="A83">
        <v>6</v>
      </c>
      <c r="B83">
        <v>0.3</v>
      </c>
      <c r="C83" s="20">
        <f>'Mid Upr WL Opt1 Calcs'!B30</f>
        <v>0.92538275257959235</v>
      </c>
      <c r="D83" s="20">
        <f>'Mid Upr WL Opt2 Calcs'!B27</f>
        <v>0.92588627561809866</v>
      </c>
      <c r="E83" s="20">
        <f>CMUpr!G58</f>
        <v>0.84743395972168767</v>
      </c>
      <c r="G83">
        <f>-(1-B83)*Inputs!$B$3</f>
        <v>-88.54547671299683</v>
      </c>
      <c r="H83" s="20">
        <f t="shared" si="4"/>
        <v>0.92588627561809866</v>
      </c>
      <c r="I83">
        <f>H83*CMUpr!$G$36</f>
        <v>6.5732243669038697</v>
      </c>
    </row>
    <row r="84" spans="1:9" x14ac:dyDescent="0.25">
      <c r="A84">
        <v>7</v>
      </c>
      <c r="B84">
        <v>0.35</v>
      </c>
      <c r="C84" s="20">
        <f>'Mid Upr WL Opt1 Calcs'!B31</f>
        <v>0.95363300559968089</v>
      </c>
      <c r="D84" s="20">
        <f>'Mid Upr WL Opt2 Calcs'!B28</f>
        <v>0.95401981273437086</v>
      </c>
      <c r="E84" s="20">
        <f>CMUpr!G59</f>
        <v>0.90938260011366978</v>
      </c>
      <c r="G84">
        <f>-(1-B84)*Inputs!$B$3</f>
        <v>-82.220799804925633</v>
      </c>
      <c r="H84" s="20">
        <f t="shared" si="4"/>
        <v>0.95401981273437086</v>
      </c>
      <c r="I84">
        <f>H84*CMUpr!$G$36</f>
        <v>6.7729552156805415</v>
      </c>
    </row>
    <row r="85" spans="1:9" x14ac:dyDescent="0.25">
      <c r="A85">
        <v>8</v>
      </c>
      <c r="B85">
        <v>0.4</v>
      </c>
      <c r="C85" s="20">
        <f>'Mid Upr WL Opt1 Calcs'!B32</f>
        <v>0.97723979982531295</v>
      </c>
      <c r="D85" s="20">
        <f>'Mid Upr WL Opt2 Calcs'!B29</f>
        <v>0.97744794308736638</v>
      </c>
      <c r="E85" s="20">
        <f>CMUpr!G60</f>
        <v>0.94701098497429037</v>
      </c>
      <c r="G85">
        <f>-(1-B85)*Inputs!$B$3</f>
        <v>-75.896122896854422</v>
      </c>
      <c r="H85" s="20">
        <f t="shared" si="4"/>
        <v>0.97744794308736638</v>
      </c>
      <c r="I85">
        <f>H85*CMUpr!$G$36</f>
        <v>6.9392805640117983</v>
      </c>
    </row>
    <row r="86" spans="1:9" x14ac:dyDescent="0.25">
      <c r="A86">
        <v>9</v>
      </c>
      <c r="B86">
        <v>0.45</v>
      </c>
      <c r="C86" s="20">
        <f>'Mid Upr WL Opt1 Calcs'!B33</f>
        <v>0.99373852023922604</v>
      </c>
      <c r="D86" s="20">
        <f>'Mid Upr WL Opt2 Calcs'!B30</f>
        <v>0.99379632519091854</v>
      </c>
      <c r="E86" s="20">
        <f>CMUpr!G61</f>
        <v>0.97652316833620778</v>
      </c>
      <c r="G86">
        <f>-(1-B86)*Inputs!$B$3</f>
        <v>-69.571445988783225</v>
      </c>
      <c r="H86" s="20">
        <f t="shared" si="4"/>
        <v>0.99379632519091854</v>
      </c>
      <c r="I86">
        <f>H86*CMUpr!$G$36</f>
        <v>7.0553440444114681</v>
      </c>
    </row>
    <row r="87" spans="1:9" x14ac:dyDescent="0.25">
      <c r="A87">
        <v>10</v>
      </c>
      <c r="B87">
        <v>0.5</v>
      </c>
      <c r="C87" s="20">
        <f>'Mid Upr WL Opt1 Calcs'!B34</f>
        <v>1.0000000000000031</v>
      </c>
      <c r="D87" s="20">
        <f>'Mid Upr WL Opt2 Calcs'!B31</f>
        <v>0.9999999999999003</v>
      </c>
      <c r="E87" s="20">
        <f>CMUpr!G62</f>
        <v>1</v>
      </c>
      <c r="F87" s="20"/>
      <c r="G87">
        <f>-(1-B87)*Inputs!$B$3</f>
        <v>-63.246769080712021</v>
      </c>
      <c r="H87" s="20">
        <f t="shared" si="4"/>
        <v>0.9999999999999003</v>
      </c>
      <c r="I87">
        <f>H87*CMUpr!$G$36</f>
        <v>7.0993863285370473</v>
      </c>
    </row>
    <row r="88" spans="1:9" x14ac:dyDescent="0.25">
      <c r="A88">
        <v>11</v>
      </c>
      <c r="B88">
        <v>0.55000000000000004</v>
      </c>
      <c r="C88" s="20">
        <f>'Mid Upr WL Opt1 Calcs'!B35</f>
        <v>0.99256219112024557</v>
      </c>
      <c r="D88" s="20">
        <f>'Mid Upr WL Opt2 Calcs'!B32</f>
        <v>0.99261999607194695</v>
      </c>
      <c r="E88" s="20">
        <f>CMUpr!G63</f>
        <v>0.99505528258707721</v>
      </c>
      <c r="G88">
        <f>-(1-B88)*Inputs!$B$3</f>
        <v>-56.922092172640816</v>
      </c>
      <c r="H88" s="20">
        <f t="shared" si="4"/>
        <v>0.99261999607194695</v>
      </c>
      <c r="I88">
        <f>H88*CMUpr!$G$36</f>
        <v>7.0469928295463804</v>
      </c>
    </row>
    <row r="89" spans="1:9" x14ac:dyDescent="0.25">
      <c r="A89">
        <v>12</v>
      </c>
      <c r="B89">
        <v>0.6</v>
      </c>
      <c r="C89" s="20">
        <f>'Mid Upr WL Opt1 Calcs'!B36</f>
        <v>0.9679618351447381</v>
      </c>
      <c r="D89" s="20">
        <f>'Mid Upr WL Opt2 Calcs'!B33</f>
        <v>0.96816997840680841</v>
      </c>
      <c r="E89" s="20">
        <f>CMUpr!G64</f>
        <v>0.99037343336497308</v>
      </c>
      <c r="G89">
        <f>-(1-B89)*Inputs!$B$3</f>
        <v>-50.597415264569619</v>
      </c>
      <c r="H89" s="20">
        <f t="shared" si="4"/>
        <v>0.96816997840680841</v>
      </c>
      <c r="I89">
        <f>H89*CMUpr!$G$36</f>
        <v>6.8734127084019896</v>
      </c>
    </row>
    <row r="90" spans="1:9" x14ac:dyDescent="0.25">
      <c r="A90">
        <v>13</v>
      </c>
      <c r="B90">
        <v>0.65</v>
      </c>
      <c r="C90" s="20">
        <f>'Mid Upr WL Opt1 Calcs'!B37</f>
        <v>0.92306613382862457</v>
      </c>
      <c r="D90" s="20">
        <f>'Mid Upr WL Opt2 Calcs'!B34</f>
        <v>0.92345294096334085</v>
      </c>
      <c r="E90" s="20">
        <f>CMUpr!G65</f>
        <v>0.98541228732875796</v>
      </c>
      <c r="G90">
        <f>-(1-B90)*Inputs!$B$3</f>
        <v>-44.272738356498415</v>
      </c>
      <c r="H90" s="20">
        <f t="shared" si="4"/>
        <v>0.92345294096334085</v>
      </c>
      <c r="I90">
        <f>H90*CMUpr!$G$36</f>
        <v>6.5559491841231248</v>
      </c>
    </row>
    <row r="91" spans="1:9" x14ac:dyDescent="0.25">
      <c r="A91">
        <v>14</v>
      </c>
      <c r="B91">
        <v>0.7</v>
      </c>
      <c r="C91" s="20">
        <f>'Mid Upr WL Opt1 Calcs'!B38</f>
        <v>0.85540441981557058</v>
      </c>
      <c r="D91" s="20">
        <f>'Mid Upr WL Opt2 Calcs'!B35</f>
        <v>0.85590794285411231</v>
      </c>
      <c r="E91" s="20">
        <f>CMUpr!G66</f>
        <v>0.95485952688520637</v>
      </c>
      <c r="G91">
        <f>-(1-B91)*Inputs!$B$3</f>
        <v>-37.948061448427218</v>
      </c>
      <c r="H91" s="20">
        <f t="shared" si="4"/>
        <v>0.85590794285411231</v>
      </c>
      <c r="I91">
        <f>H91*CMUpr!$G$36</f>
        <v>6.0764211479853589</v>
      </c>
    </row>
    <row r="92" spans="1:9" x14ac:dyDescent="0.25">
      <c r="A92">
        <v>15</v>
      </c>
      <c r="B92">
        <v>0.75</v>
      </c>
      <c r="C92" s="20">
        <f>'Mid Upr WL Opt1 Calcs'!B39</f>
        <v>0.76349982731594235</v>
      </c>
      <c r="D92" s="20">
        <f>'Mid Upr WL Opt2 Calcs'!B36</f>
        <v>0.76396688821766745</v>
      </c>
      <c r="E92" s="20">
        <f>CMUpr!G67</f>
        <v>0.91492119416112339</v>
      </c>
      <c r="G92">
        <f>-(1-B92)*Inputs!$B$3</f>
        <v>-31.62338454035601</v>
      </c>
      <c r="H92" s="20">
        <f t="shared" si="4"/>
        <v>0.76396688821766745</v>
      </c>
      <c r="I92">
        <f>H92*CMUpr!$G$36</f>
        <v>5.42369608166804</v>
      </c>
    </row>
    <row r="93" spans="1:9" x14ac:dyDescent="0.25">
      <c r="A93">
        <v>16</v>
      </c>
      <c r="B93">
        <v>0.8</v>
      </c>
      <c r="C93" s="20">
        <f>'Mid Upr WL Opt1 Calcs'!B40</f>
        <v>0.64720096278496708</v>
      </c>
      <c r="D93" s="20">
        <f>'Mid Upr WL Opt2 Calcs'!B37</f>
        <v>0.64742134976839649</v>
      </c>
      <c r="E93" s="20">
        <f>CMUpr!G68</f>
        <v>0.86802596484750272</v>
      </c>
      <c r="G93">
        <f>-(1-B93)*Inputs!$B$3</f>
        <v>-25.298707632284803</v>
      </c>
      <c r="H93" s="20">
        <f t="shared" si="4"/>
        <v>0.64742134976839649</v>
      </c>
      <c r="I93">
        <f>H93*CMUpr!$G$36</f>
        <v>4.5962942793492143</v>
      </c>
    </row>
    <row r="94" spans="1:9" x14ac:dyDescent="0.25">
      <c r="A94">
        <v>17</v>
      </c>
      <c r="B94">
        <v>0.85</v>
      </c>
      <c r="C94" s="20">
        <f>'Mid Upr WL Opt1 Calcs'!B41</f>
        <v>0.50801357560091187</v>
      </c>
      <c r="D94" s="20">
        <f>'Mid Upr WL Opt2 Calcs'!B38</f>
        <v>0.50779943602405653</v>
      </c>
      <c r="E94" s="20">
        <f>CMUpr!G69</f>
        <v>0.80039418356022063</v>
      </c>
      <c r="G94">
        <f>-(1-B94)*Inputs!$B$3</f>
        <v>-18.974030724213609</v>
      </c>
      <c r="H94" s="20">
        <f t="shared" si="4"/>
        <v>0.50779943602405653</v>
      </c>
      <c r="I94">
        <f>H94*CMUpr!$G$36</f>
        <v>3.6050643737483692</v>
      </c>
    </row>
    <row r="95" spans="1:9" x14ac:dyDescent="0.25">
      <c r="A95">
        <v>18</v>
      </c>
      <c r="B95">
        <v>0.9</v>
      </c>
      <c r="C95" s="20">
        <f>'Mid Upr WL Opt1 Calcs'!B42</f>
        <v>0.34943222874324409</v>
      </c>
      <c r="D95" s="20">
        <f>'Mid Upr WL Opt2 Calcs'!B39</f>
        <v>0.34875270221090487</v>
      </c>
      <c r="E95" s="20">
        <f>CMUpr!G70</f>
        <v>0.71931592806741851</v>
      </c>
      <c r="G95">
        <f>-(1-B95)*Inputs!$B$3</f>
        <v>-12.649353816142401</v>
      </c>
      <c r="H95" s="20">
        <f t="shared" si="4"/>
        <v>0.34875270221090487</v>
      </c>
      <c r="I95">
        <f>H95*CMUpr!$G$36</f>
        <v>2.4759301661166968</v>
      </c>
    </row>
    <row r="96" spans="1:9" x14ac:dyDescent="0.25">
      <c r="A96">
        <v>19</v>
      </c>
      <c r="B96">
        <v>0.95</v>
      </c>
      <c r="C96" s="20">
        <f>'Mid Upr WL Opt1 Calcs'!B43</f>
        <v>0.17727196947080603</v>
      </c>
      <c r="D96" s="20">
        <f>'Mid Upr WL Opt2 Calcs'!B40</f>
        <v>0.17645310484649235</v>
      </c>
      <c r="E96" s="20">
        <f>CMUpr!G71</f>
        <v>0.64912987330653826</v>
      </c>
      <c r="G96">
        <f>-(1-B96)*Inputs!$B$3</f>
        <v>-6.3246769080712077</v>
      </c>
      <c r="H96" s="20">
        <f t="shared" si="4"/>
        <v>0.17645310484649235</v>
      </c>
      <c r="I96">
        <f>H96*CMUpr!$G$36</f>
        <v>1.2527087601752269</v>
      </c>
    </row>
    <row r="97" spans="1:9" x14ac:dyDescent="0.25">
      <c r="A97">
        <v>20</v>
      </c>
      <c r="B97">
        <v>1</v>
      </c>
      <c r="C97" s="20">
        <f>'Mid Upr WL Opt1 Calcs'!B44</f>
        <v>0</v>
      </c>
      <c r="D97" s="20">
        <f>'Mid Upr WL Opt2 Calcs'!B41</f>
        <v>6.0396132539608516E-14</v>
      </c>
      <c r="E97" s="20">
        <f>CMUpr!G72</f>
        <v>0.54983684772420549</v>
      </c>
      <c r="G97">
        <f>-(1-B97)*Inputs!$B$3</f>
        <v>0</v>
      </c>
      <c r="H97" s="20">
        <f t="shared" si="4"/>
        <v>6.0396132539608516E-14</v>
      </c>
      <c r="I97">
        <f>H97*CMUpr!$G$36</f>
        <v>4.2877547764825097E-13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3"/>
  <sheetViews>
    <sheetView topLeftCell="G9" workbookViewId="0">
      <selection activeCell="B22" sqref="B22"/>
    </sheetView>
  </sheetViews>
  <sheetFormatPr defaultRowHeight="12.75" x14ac:dyDescent="0.2"/>
  <cols>
    <col min="1" max="5" width="9.140625" style="28"/>
    <col min="6" max="6" width="10.42578125" style="28" bestFit="1" customWidth="1"/>
    <col min="7" max="7" width="13.7109375" style="28" bestFit="1" customWidth="1"/>
    <col min="8" max="10" width="9.140625" style="28"/>
    <col min="11" max="11" width="12.5703125" style="28" customWidth="1"/>
    <col min="12" max="15" width="9.140625" style="28"/>
    <col min="16" max="16" width="10" style="28" bestFit="1" customWidth="1"/>
    <col min="17" max="22" width="9.140625" style="28"/>
    <col min="23" max="23" width="6.140625" style="28" bestFit="1" customWidth="1"/>
    <col min="24" max="27" width="12" style="28" bestFit="1" customWidth="1"/>
    <col min="28" max="28" width="8" style="28" bestFit="1" customWidth="1"/>
    <col min="29" max="29" width="12" style="28" bestFit="1" customWidth="1"/>
    <col min="30" max="30" width="6" style="28" bestFit="1" customWidth="1"/>
    <col min="31" max="31" width="8" style="28" bestFit="1" customWidth="1"/>
    <col min="32" max="32" width="6.5703125" style="28" bestFit="1" customWidth="1"/>
    <col min="33" max="33" width="8.5703125" style="28" bestFit="1" customWidth="1"/>
    <col min="34" max="34" width="6.5703125" style="28" bestFit="1" customWidth="1"/>
    <col min="35" max="35" width="8.5703125" style="28" bestFit="1" customWidth="1"/>
    <col min="36" max="36" width="6.5703125" style="28" bestFit="1" customWidth="1"/>
    <col min="37" max="37" width="8.5703125" style="28" bestFit="1" customWidth="1"/>
    <col min="38" max="38" width="6.140625" style="28" bestFit="1" customWidth="1"/>
    <col min="39" max="39" width="8.5703125" style="28" bestFit="1" customWidth="1"/>
    <col min="40" max="41" width="6.5703125" style="28" bestFit="1" customWidth="1"/>
    <col min="42" max="42" width="6.140625" style="28" bestFit="1" customWidth="1"/>
    <col min="43" max="43" width="6.140625" style="28" customWidth="1"/>
    <col min="44" max="44" width="6.5703125" style="28" bestFit="1" customWidth="1"/>
    <col min="45" max="45" width="6.5703125" style="28" customWidth="1"/>
    <col min="46" max="46" width="9.140625" style="28" bestFit="1"/>
    <col min="47" max="47" width="4.85546875" style="28" customWidth="1"/>
    <col min="48" max="48" width="5.5703125" style="28" bestFit="1" customWidth="1"/>
    <col min="49" max="49" width="5.140625" style="28" bestFit="1" customWidth="1"/>
    <col min="50" max="57" width="6.140625" style="28" bestFit="1" customWidth="1"/>
    <col min="58" max="60" width="6.140625" style="28" customWidth="1"/>
    <col min="61" max="61" width="6.5703125" style="28" bestFit="1" customWidth="1"/>
    <col min="62" max="16384" width="9.140625" style="28"/>
  </cols>
  <sheetData>
    <row r="1" spans="2:41" x14ac:dyDescent="0.2">
      <c r="B1" s="28" t="s">
        <v>100</v>
      </c>
      <c r="C1" s="28">
        <f>Inputs!$B$6</f>
        <v>4.8514589937413639</v>
      </c>
      <c r="I1" s="28" t="s">
        <v>112</v>
      </c>
      <c r="J1" s="28" t="s">
        <v>75</v>
      </c>
      <c r="K1" s="28" t="s">
        <v>113</v>
      </c>
      <c r="W1" s="28" t="s">
        <v>115</v>
      </c>
    </row>
    <row r="2" spans="2:41" x14ac:dyDescent="0.2">
      <c r="C2" s="28">
        <f>C1</f>
        <v>4.8514589937413639</v>
      </c>
      <c r="F2" s="28" t="s">
        <v>110</v>
      </c>
      <c r="G2" s="28" t="s">
        <v>109</v>
      </c>
      <c r="I2" s="28" t="s">
        <v>107</v>
      </c>
      <c r="J2" s="28" t="s">
        <v>106</v>
      </c>
      <c r="K2" s="28" t="s">
        <v>108</v>
      </c>
      <c r="W2" s="28">
        <v>0</v>
      </c>
      <c r="X2" s="28">
        <v>0.01</v>
      </c>
      <c r="Y2" s="28">
        <v>0.03</v>
      </c>
      <c r="Z2" s="28">
        <v>0.05</v>
      </c>
      <c r="AA2" s="28">
        <v>7.0000000000000007E-2</v>
      </c>
      <c r="AB2" s="28">
        <v>0.1</v>
      </c>
      <c r="AC2" s="28">
        <v>0.15</v>
      </c>
      <c r="AD2" s="28">
        <v>0.2</v>
      </c>
      <c r="AE2" s="28">
        <v>0.3</v>
      </c>
      <c r="AF2" s="28">
        <v>0.4</v>
      </c>
      <c r="AG2" s="28">
        <v>0.5</v>
      </c>
      <c r="AH2" s="28">
        <v>0.6</v>
      </c>
      <c r="AI2" s="28">
        <v>0.7</v>
      </c>
      <c r="AJ2" s="28">
        <v>0.8</v>
      </c>
      <c r="AK2" s="28">
        <v>0.9</v>
      </c>
      <c r="AL2" s="28">
        <v>1</v>
      </c>
      <c r="AM2" s="28">
        <v>1.1000000000000001</v>
      </c>
      <c r="AN2" s="28">
        <v>1.2</v>
      </c>
    </row>
    <row r="3" spans="2:41" x14ac:dyDescent="0.2">
      <c r="D3" s="28">
        <v>1</v>
      </c>
      <c r="F3" s="28">
        <v>0</v>
      </c>
      <c r="G3" s="28">
        <v>10</v>
      </c>
      <c r="I3" s="40">
        <v>0.80100000000000005</v>
      </c>
      <c r="J3" s="28">
        <f>TAN(F3*PI()/180)</f>
        <v>0</v>
      </c>
      <c r="K3" s="30">
        <f>1/TAN(G3*PI()/180)</f>
        <v>5.6712818196177093</v>
      </c>
      <c r="W3" s="28">
        <f t="shared" ref="W3:AN3" si="0">-12*W2^2+28*W2^3-15*W2^4</f>
        <v>0</v>
      </c>
      <c r="X3" s="28">
        <f t="shared" si="0"/>
        <v>-1.1721500000000001E-3</v>
      </c>
      <c r="Y3" s="28">
        <f t="shared" si="0"/>
        <v>-1.0056150000000002E-2</v>
      </c>
      <c r="Z3" s="28">
        <f t="shared" si="0"/>
        <v>-2.6593750000000006E-2</v>
      </c>
      <c r="AA3" s="28">
        <f t="shared" si="0"/>
        <v>-4.9556150000000007E-2</v>
      </c>
      <c r="AB3" s="28">
        <f t="shared" si="0"/>
        <v>-9.3500000000000014E-2</v>
      </c>
      <c r="AC3" s="28">
        <f t="shared" si="0"/>
        <v>-0.18309375000000003</v>
      </c>
      <c r="AD3" s="28">
        <f t="shared" si="0"/>
        <v>-0.28000000000000003</v>
      </c>
      <c r="AE3" s="28">
        <f t="shared" si="0"/>
        <v>-0.44550000000000006</v>
      </c>
      <c r="AF3" s="28">
        <f t="shared" si="0"/>
        <v>-0.51200000000000001</v>
      </c>
      <c r="AG3" s="28">
        <f t="shared" si="0"/>
        <v>-0.4375</v>
      </c>
      <c r="AH3" s="28">
        <f t="shared" si="0"/>
        <v>-0.21600000000000019</v>
      </c>
      <c r="AI3" s="28">
        <f t="shared" si="0"/>
        <v>0.12249999999999961</v>
      </c>
      <c r="AJ3" s="28">
        <f t="shared" si="0"/>
        <v>0.51199999999999957</v>
      </c>
      <c r="AK3" s="28">
        <f t="shared" si="0"/>
        <v>0.85050000000000026</v>
      </c>
      <c r="AL3" s="28">
        <f t="shared" si="0"/>
        <v>1</v>
      </c>
      <c r="AM3" s="28">
        <f t="shared" si="0"/>
        <v>0.7865000000000073</v>
      </c>
      <c r="AN3" s="28">
        <f t="shared" si="0"/>
        <v>0</v>
      </c>
    </row>
    <row r="4" spans="2:41" x14ac:dyDescent="0.2">
      <c r="W4" s="28">
        <f t="shared" ref="W4:AN4" si="1">30*W2^2-60*W2^3+30*W2^4</f>
        <v>0</v>
      </c>
      <c r="X4" s="28">
        <f t="shared" si="1"/>
        <v>2.9402999999999999E-3</v>
      </c>
      <c r="Y4" s="28">
        <f t="shared" si="1"/>
        <v>2.5404300000000001E-2</v>
      </c>
      <c r="Z4" s="28">
        <f t="shared" si="1"/>
        <v>6.7687499999999998E-2</v>
      </c>
      <c r="AA4" s="28">
        <f t="shared" si="1"/>
        <v>0.12714030000000001</v>
      </c>
      <c r="AB4" s="28">
        <f t="shared" si="1"/>
        <v>0.24300000000000005</v>
      </c>
      <c r="AC4" s="28">
        <f t="shared" si="1"/>
        <v>0.48768749999999994</v>
      </c>
      <c r="AD4" s="28">
        <f t="shared" si="1"/>
        <v>0.76800000000000013</v>
      </c>
      <c r="AE4" s="28">
        <f t="shared" si="1"/>
        <v>1.323</v>
      </c>
      <c r="AF4" s="28">
        <f t="shared" si="1"/>
        <v>1.7280000000000002</v>
      </c>
      <c r="AG4" s="28">
        <f t="shared" si="1"/>
        <v>1.875</v>
      </c>
      <c r="AH4" s="28">
        <f t="shared" si="1"/>
        <v>1.7279999999999998</v>
      </c>
      <c r="AI4" s="28">
        <f t="shared" si="1"/>
        <v>1.3230000000000004</v>
      </c>
      <c r="AJ4" s="28">
        <f t="shared" si="1"/>
        <v>0.76800000000000246</v>
      </c>
      <c r="AK4" s="28">
        <f t="shared" si="1"/>
        <v>0.242999999999995</v>
      </c>
      <c r="AL4" s="28">
        <f t="shared" si="1"/>
        <v>0</v>
      </c>
      <c r="AM4" s="28">
        <f t="shared" si="1"/>
        <v>0.36299999999998533</v>
      </c>
      <c r="AN4" s="28">
        <f t="shared" si="1"/>
        <v>1.7280000000000015</v>
      </c>
    </row>
    <row r="5" spans="2:41" x14ac:dyDescent="0.2">
      <c r="I5" s="28" t="s">
        <v>112</v>
      </c>
      <c r="J5" s="28" t="s">
        <v>75</v>
      </c>
      <c r="K5" s="28" t="s">
        <v>73</v>
      </c>
      <c r="L5" s="28" t="s">
        <v>72</v>
      </c>
      <c r="M5" s="28" t="s">
        <v>71</v>
      </c>
      <c r="N5" s="28" t="s">
        <v>70</v>
      </c>
      <c r="W5" s="28">
        <f t="shared" ref="W5:AN5" si="2">3/2*W2^2-4*W2^3+5/2*W2^4</f>
        <v>0</v>
      </c>
      <c r="X5" s="28">
        <f t="shared" si="2"/>
        <v>1.4602500000000001E-4</v>
      </c>
      <c r="Y5" s="28">
        <f t="shared" si="2"/>
        <v>1.2440249999999999E-3</v>
      </c>
      <c r="Z5" s="28">
        <f t="shared" si="2"/>
        <v>3.2656250000000007E-3</v>
      </c>
      <c r="AA5" s="28">
        <f t="shared" si="2"/>
        <v>6.0380250000000007E-3</v>
      </c>
      <c r="AB5" s="28">
        <f t="shared" si="2"/>
        <v>1.1250000000000003E-2</v>
      </c>
      <c r="AC5" s="28">
        <f t="shared" si="2"/>
        <v>2.1515625000000003E-2</v>
      </c>
      <c r="AD5" s="28">
        <f t="shared" si="2"/>
        <v>3.2000000000000008E-2</v>
      </c>
      <c r="AE5" s="28">
        <f t="shared" si="2"/>
        <v>4.7250000000000007E-2</v>
      </c>
      <c r="AF5" s="28">
        <f t="shared" si="2"/>
        <v>4.8000000000000015E-2</v>
      </c>
      <c r="AG5" s="28">
        <f t="shared" si="2"/>
        <v>3.125E-2</v>
      </c>
      <c r="AH5" s="28">
        <f t="shared" si="2"/>
        <v>0</v>
      </c>
      <c r="AI5" s="28">
        <f t="shared" si="2"/>
        <v>-3.6749999999999949E-2</v>
      </c>
      <c r="AJ5" s="28">
        <f t="shared" si="2"/>
        <v>-6.3999999999999835E-2</v>
      </c>
      <c r="AK5" s="28">
        <f t="shared" si="2"/>
        <v>-6.074999999999986E-2</v>
      </c>
      <c r="AL5" s="28">
        <f t="shared" si="2"/>
        <v>0</v>
      </c>
      <c r="AM5" s="28">
        <f t="shared" si="2"/>
        <v>0.15124999999999966</v>
      </c>
      <c r="AN5" s="28">
        <f t="shared" si="2"/>
        <v>0.4319999999999995</v>
      </c>
    </row>
    <row r="6" spans="2:41" x14ac:dyDescent="0.2">
      <c r="I6" s="28" t="s">
        <v>107</v>
      </c>
      <c r="J6" s="28" t="s">
        <v>106</v>
      </c>
      <c r="W6" s="28">
        <f t="shared" ref="W6:AN6" si="3">W2-9/2*W2^2+6*W2^3-5/2*W2^4</f>
        <v>0</v>
      </c>
      <c r="X6" s="28">
        <f t="shared" si="3"/>
        <v>9.5559749999999995E-3</v>
      </c>
      <c r="Y6" s="28">
        <f t="shared" si="3"/>
        <v>2.6109975000000001E-2</v>
      </c>
      <c r="Z6" s="28">
        <f t="shared" si="3"/>
        <v>3.9484375000000002E-2</v>
      </c>
      <c r="AA6" s="28">
        <f t="shared" si="3"/>
        <v>4.9947975000000013E-2</v>
      </c>
      <c r="AB6" s="28">
        <f t="shared" si="3"/>
        <v>6.0749999999999998E-2</v>
      </c>
      <c r="AC6" s="28">
        <f t="shared" si="3"/>
        <v>6.7734374999999999E-2</v>
      </c>
      <c r="AD6" s="28">
        <f t="shared" si="3"/>
        <v>6.3999999999999974E-2</v>
      </c>
      <c r="AE6" s="28">
        <f t="shared" si="3"/>
        <v>3.6750000000000026E-2</v>
      </c>
      <c r="AF6" s="28">
        <f t="shared" si="3"/>
        <v>0</v>
      </c>
      <c r="AG6" s="28">
        <f t="shared" si="3"/>
        <v>-3.125E-2</v>
      </c>
      <c r="AH6" s="28">
        <f t="shared" si="3"/>
        <v>-4.7999999999999932E-2</v>
      </c>
      <c r="AI6" s="28">
        <f t="shared" si="3"/>
        <v>-4.7250000000000125E-2</v>
      </c>
      <c r="AJ6" s="28">
        <f t="shared" si="3"/>
        <v>-3.2000000000000473E-2</v>
      </c>
      <c r="AK6" s="28">
        <f t="shared" si="3"/>
        <v>-1.1250000000000426E-2</v>
      </c>
      <c r="AL6" s="28">
        <f t="shared" si="3"/>
        <v>0</v>
      </c>
      <c r="AM6" s="28">
        <f t="shared" si="3"/>
        <v>-1.9249999999999101E-2</v>
      </c>
      <c r="AN6" s="28">
        <f t="shared" si="3"/>
        <v>-9.5999999999998309E-2</v>
      </c>
    </row>
    <row r="7" spans="2:41" x14ac:dyDescent="0.2">
      <c r="D7" s="28">
        <v>1</v>
      </c>
      <c r="H7" s="28">
        <f>J7/2+(1-J7)*(1+L7)^2*(1-L7/(2*(1+L7)^2)-L7*LN((1+L7)/L7))</f>
        <v>0.85045013340919029</v>
      </c>
      <c r="I7" s="28">
        <f>I3</f>
        <v>0.80100000000000005</v>
      </c>
      <c r="J7" s="28">
        <f>J3</f>
        <v>0</v>
      </c>
      <c r="K7" s="28">
        <f>(1-J7)*(1+L7)^2*L7</f>
        <v>0.17391037500000001</v>
      </c>
      <c r="L7" s="37">
        <v>0.13500000000000001</v>
      </c>
      <c r="M7" s="28">
        <f>(1-J7)*(1+L7)^2</f>
        <v>1.288225</v>
      </c>
      <c r="N7" s="28">
        <f>J7-L7*(1-J7)</f>
        <v>-0.13500000000000001</v>
      </c>
    </row>
    <row r="9" spans="2:41" x14ac:dyDescent="0.2">
      <c r="C9" s="28">
        <v>0</v>
      </c>
      <c r="D9" s="28">
        <v>0.01</v>
      </c>
      <c r="E9" s="28">
        <v>0.03</v>
      </c>
      <c r="F9" s="28">
        <v>0.05</v>
      </c>
      <c r="G9" s="28">
        <v>7.0000000000000007E-2</v>
      </c>
      <c r="H9" s="28">
        <v>0.1</v>
      </c>
      <c r="I9" s="28">
        <v>0.15</v>
      </c>
      <c r="J9" s="28">
        <v>0.2</v>
      </c>
      <c r="K9" s="28">
        <v>0.3</v>
      </c>
      <c r="L9" s="28">
        <v>0.4</v>
      </c>
      <c r="M9" s="28">
        <v>0.5</v>
      </c>
      <c r="N9" s="28">
        <v>0.6</v>
      </c>
      <c r="O9" s="28">
        <v>0.7</v>
      </c>
      <c r="P9" s="28">
        <v>0.8</v>
      </c>
      <c r="Q9" s="28">
        <v>0.9</v>
      </c>
      <c r="R9" s="28">
        <v>1</v>
      </c>
      <c r="S9" s="28">
        <v>1.1000000000000001</v>
      </c>
      <c r="T9" s="28">
        <v>1.2</v>
      </c>
    </row>
    <row r="10" spans="2:41" x14ac:dyDescent="0.2">
      <c r="C10" s="29">
        <f t="shared" ref="C10:T10" si="4">W$3+W$4*$I3+W$5*$J3+W$6*$K3</f>
        <v>0</v>
      </c>
      <c r="D10" s="29">
        <f t="shared" si="4"/>
        <v>5.5377657586221332E-2</v>
      </c>
      <c r="E10" s="29">
        <f t="shared" si="4"/>
        <v>0.15836972082817288</v>
      </c>
      <c r="F10" s="29">
        <f t="shared" si="4"/>
        <v>0.25155095559646801</v>
      </c>
      <c r="G10" s="29">
        <f t="shared" si="4"/>
        <v>0.33555227284421996</v>
      </c>
      <c r="H10" s="29">
        <f t="shared" si="4"/>
        <v>0.44567337054177586</v>
      </c>
      <c r="I10" s="29">
        <f t="shared" si="4"/>
        <v>0.59168466700066824</v>
      </c>
      <c r="J10" s="29">
        <f t="shared" si="4"/>
        <v>0.6981300364555334</v>
      </c>
      <c r="K10" s="29">
        <f t="shared" si="4"/>
        <v>0.82264260687095092</v>
      </c>
      <c r="L10" s="29">
        <f t="shared" si="4"/>
        <v>0.87212800000000024</v>
      </c>
      <c r="M10" s="29">
        <f t="shared" si="4"/>
        <v>0.8871474431369466</v>
      </c>
      <c r="N10" s="29">
        <f t="shared" si="4"/>
        <v>0.89590647265834988</v>
      </c>
      <c r="O10" s="29">
        <f t="shared" si="4"/>
        <v>0.91425493402306257</v>
      </c>
      <c r="P10" s="29">
        <f t="shared" si="4"/>
        <v>0.94568698177223209</v>
      </c>
      <c r="Q10" s="29">
        <f t="shared" si="4"/>
        <v>0.98134107952929472</v>
      </c>
      <c r="R10" s="29">
        <f t="shared" si="4"/>
        <v>1</v>
      </c>
      <c r="S10" s="29">
        <f t="shared" si="4"/>
        <v>0.96809082497235988</v>
      </c>
      <c r="T10" s="29">
        <f t="shared" si="4"/>
        <v>0.8396849453167109</v>
      </c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</row>
    <row r="11" spans="2:41" x14ac:dyDescent="0.2"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</row>
    <row r="12" spans="2:41" x14ac:dyDescent="0.2"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</row>
    <row r="13" spans="2:41" x14ac:dyDescent="0.2">
      <c r="C13" s="29">
        <v>0</v>
      </c>
      <c r="D13" s="29">
        <v>0.01</v>
      </c>
      <c r="E13" s="29">
        <v>0.03</v>
      </c>
      <c r="F13" s="29">
        <v>0.05</v>
      </c>
      <c r="G13" s="29">
        <v>7.0000000000000007E-2</v>
      </c>
      <c r="H13" s="29">
        <v>0.1</v>
      </c>
      <c r="I13" s="29">
        <v>0.15</v>
      </c>
      <c r="J13" s="29">
        <v>0.2</v>
      </c>
      <c r="K13" s="29">
        <v>0.3</v>
      </c>
      <c r="L13" s="29">
        <v>0.4</v>
      </c>
      <c r="M13" s="29">
        <v>0.5</v>
      </c>
      <c r="N13" s="29">
        <v>0.6</v>
      </c>
      <c r="O13" s="29">
        <v>0.7</v>
      </c>
      <c r="P13" s="29">
        <v>0.8</v>
      </c>
      <c r="Q13" s="29">
        <v>0.9</v>
      </c>
      <c r="R13" s="29">
        <v>1</v>
      </c>
      <c r="S13" s="29">
        <v>1.1000000000000001</v>
      </c>
      <c r="T13" s="29">
        <v>1.2</v>
      </c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</row>
    <row r="14" spans="2:41" x14ac:dyDescent="0.2">
      <c r="C14" s="29">
        <f t="shared" ref="C14:T14" si="5">$N7*C$13+$M7-$K7/(C$13+$L7)</f>
        <v>0</v>
      </c>
      <c r="D14" s="29">
        <f t="shared" si="5"/>
        <v>8.7493103448275988E-2</v>
      </c>
      <c r="E14" s="29">
        <f t="shared" si="5"/>
        <v>0.2301727272727272</v>
      </c>
      <c r="F14" s="29">
        <f t="shared" si="5"/>
        <v>0.34141891891891885</v>
      </c>
      <c r="G14" s="29">
        <f t="shared" si="5"/>
        <v>0.43043170731707325</v>
      </c>
      <c r="H14" s="29">
        <f t="shared" si="5"/>
        <v>0.53468085106382968</v>
      </c>
      <c r="I14" s="29">
        <f t="shared" si="5"/>
        <v>0.65776315789473672</v>
      </c>
      <c r="J14" s="29">
        <f t="shared" si="5"/>
        <v>0.74208955223880602</v>
      </c>
      <c r="K14" s="29">
        <f t="shared" si="5"/>
        <v>0.84793103448275864</v>
      </c>
      <c r="L14" s="29">
        <f t="shared" si="5"/>
        <v>0.90915887850467281</v>
      </c>
      <c r="M14" s="29">
        <f t="shared" si="5"/>
        <v>0.94685039370078727</v>
      </c>
      <c r="N14" s="29">
        <f t="shared" si="5"/>
        <v>0.97061224489795916</v>
      </c>
      <c r="O14" s="29">
        <f t="shared" si="5"/>
        <v>0.9854491017964071</v>
      </c>
      <c r="P14" s="29">
        <f t="shared" si="5"/>
        <v>0.99422459893048121</v>
      </c>
      <c r="Q14" s="29">
        <f t="shared" si="5"/>
        <v>0.9986956521739131</v>
      </c>
      <c r="R14" s="29">
        <f t="shared" si="5"/>
        <v>1</v>
      </c>
      <c r="S14" s="29">
        <f t="shared" si="5"/>
        <v>0.99890688259109295</v>
      </c>
      <c r="T14" s="29">
        <f t="shared" si="5"/>
        <v>0.99595505617977531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</row>
    <row r="15" spans="2:41" x14ac:dyDescent="0.2"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</row>
    <row r="16" spans="2:41" s="38" customFormat="1" x14ac:dyDescent="0.2"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</row>
    <row r="17" spans="1:51" x14ac:dyDescent="0.2">
      <c r="C17" s="29">
        <f t="shared" ref="C17:T17" si="6">C9</f>
        <v>0</v>
      </c>
      <c r="D17" s="29">
        <f t="shared" si="6"/>
        <v>0.01</v>
      </c>
      <c r="E17" s="29">
        <f t="shared" si="6"/>
        <v>0.03</v>
      </c>
      <c r="F17" s="29">
        <f t="shared" si="6"/>
        <v>0.05</v>
      </c>
      <c r="G17" s="29">
        <f t="shared" si="6"/>
        <v>7.0000000000000007E-2</v>
      </c>
      <c r="H17" s="29">
        <f t="shared" si="6"/>
        <v>0.1</v>
      </c>
      <c r="I17" s="29">
        <f t="shared" si="6"/>
        <v>0.15</v>
      </c>
      <c r="J17" s="29">
        <f t="shared" si="6"/>
        <v>0.2</v>
      </c>
      <c r="K17" s="29">
        <f t="shared" si="6"/>
        <v>0.3</v>
      </c>
      <c r="L17" s="29">
        <f t="shared" si="6"/>
        <v>0.4</v>
      </c>
      <c r="M17" s="29">
        <f t="shared" si="6"/>
        <v>0.5</v>
      </c>
      <c r="N17" s="29">
        <f t="shared" si="6"/>
        <v>0.6</v>
      </c>
      <c r="O17" s="29">
        <f t="shared" si="6"/>
        <v>0.7</v>
      </c>
      <c r="P17" s="29">
        <f t="shared" si="6"/>
        <v>0.8</v>
      </c>
      <c r="Q17" s="29">
        <f t="shared" si="6"/>
        <v>0.9</v>
      </c>
      <c r="R17" s="29">
        <f t="shared" si="6"/>
        <v>1</v>
      </c>
      <c r="S17" s="29">
        <f t="shared" si="6"/>
        <v>1.1000000000000001</v>
      </c>
      <c r="T17" s="29">
        <f t="shared" si="6"/>
        <v>1.2</v>
      </c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</row>
    <row r="18" spans="1:51" x14ac:dyDescent="0.2">
      <c r="C18" s="29">
        <f>IF(Inputs!$B$13&lt;0.72,'Section Calcs'!C10,'Section Calcs'!C14)</f>
        <v>0</v>
      </c>
      <c r="D18" s="29">
        <f>IF(Inputs!$B$13&lt;0.72,'Section Calcs'!D10,'Section Calcs'!D14)</f>
        <v>8.7493103448275988E-2</v>
      </c>
      <c r="E18" s="29">
        <f>IF(Inputs!$B$13&lt;0.72,'Section Calcs'!E10,'Section Calcs'!E14)</f>
        <v>0.2301727272727272</v>
      </c>
      <c r="F18" s="29">
        <f>IF(Inputs!$B$13&lt;0.72,'Section Calcs'!F10,'Section Calcs'!F14)</f>
        <v>0.34141891891891885</v>
      </c>
      <c r="G18" s="29">
        <f>IF(Inputs!$B$13&lt;0.72,'Section Calcs'!G10,'Section Calcs'!G14)</f>
        <v>0.43043170731707325</v>
      </c>
      <c r="H18" s="29">
        <f>IF(Inputs!$B$13&lt;0.72,'Section Calcs'!H10,'Section Calcs'!H14)</f>
        <v>0.53468085106382968</v>
      </c>
      <c r="I18" s="29">
        <f>IF(Inputs!$B$13&lt;0.72,'Section Calcs'!I10,'Section Calcs'!I14)</f>
        <v>0.65776315789473672</v>
      </c>
      <c r="J18" s="29">
        <f>IF(Inputs!$B$13&lt;0.72,'Section Calcs'!J10,'Section Calcs'!J14)</f>
        <v>0.74208955223880602</v>
      </c>
      <c r="K18" s="29">
        <f>IF(Inputs!$B$13&lt;0.72,'Section Calcs'!K10,'Section Calcs'!K14)</f>
        <v>0.84793103448275864</v>
      </c>
      <c r="L18" s="29">
        <f>IF(Inputs!$B$13&lt;0.72,'Section Calcs'!L10,'Section Calcs'!L14)</f>
        <v>0.90915887850467281</v>
      </c>
      <c r="M18" s="29">
        <f>IF(Inputs!$B$13&lt;0.72,'Section Calcs'!M10,'Section Calcs'!M14)</f>
        <v>0.94685039370078727</v>
      </c>
      <c r="N18" s="29">
        <f>IF(Inputs!$B$13&lt;0.72,'Section Calcs'!N10,'Section Calcs'!N14)</f>
        <v>0.97061224489795916</v>
      </c>
      <c r="O18" s="29">
        <f>IF(Inputs!$B$13&lt;0.72,'Section Calcs'!O10,'Section Calcs'!O14)</f>
        <v>0.9854491017964071</v>
      </c>
      <c r="P18" s="29">
        <f>IF(Inputs!$B$13&lt;0.72,'Section Calcs'!P10,'Section Calcs'!P14)</f>
        <v>0.99422459893048121</v>
      </c>
      <c r="Q18" s="29">
        <f>IF(Inputs!$B$13&lt;0.72,'Section Calcs'!Q10,'Section Calcs'!Q14)</f>
        <v>0.9986956521739131</v>
      </c>
      <c r="R18" s="29">
        <f>IF(Inputs!$B$13&lt;0.72,'Section Calcs'!R10,'Section Calcs'!R14)</f>
        <v>1</v>
      </c>
      <c r="S18" s="29">
        <f>IF(Inputs!$B$13&lt;0.72,'Section Calcs'!S10,'Section Calcs'!S14)</f>
        <v>0.99890688259109295</v>
      </c>
      <c r="T18" s="29">
        <f>IF(Inputs!$B$13&lt;0.72,'Section Calcs'!T10,'Section Calcs'!T14)</f>
        <v>0.99595505617977531</v>
      </c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</row>
    <row r="19" spans="1:51" x14ac:dyDescent="0.2">
      <c r="C19" s="29">
        <f t="shared" ref="C19:T19" si="7">-C18</f>
        <v>0</v>
      </c>
      <c r="D19" s="29">
        <f t="shared" si="7"/>
        <v>-8.7493103448275988E-2</v>
      </c>
      <c r="E19" s="29">
        <f t="shared" si="7"/>
        <v>-0.2301727272727272</v>
      </c>
      <c r="F19" s="29">
        <f t="shared" si="7"/>
        <v>-0.34141891891891885</v>
      </c>
      <c r="G19" s="29">
        <f t="shared" si="7"/>
        <v>-0.43043170731707325</v>
      </c>
      <c r="H19" s="29">
        <f t="shared" si="7"/>
        <v>-0.53468085106382968</v>
      </c>
      <c r="I19" s="29">
        <f t="shared" si="7"/>
        <v>-0.65776315789473672</v>
      </c>
      <c r="J19" s="29">
        <f t="shared" si="7"/>
        <v>-0.74208955223880602</v>
      </c>
      <c r="K19" s="29">
        <f t="shared" si="7"/>
        <v>-0.84793103448275864</v>
      </c>
      <c r="L19" s="29">
        <f t="shared" si="7"/>
        <v>-0.90915887850467281</v>
      </c>
      <c r="M19" s="29">
        <f t="shared" si="7"/>
        <v>-0.94685039370078727</v>
      </c>
      <c r="N19" s="29">
        <f t="shared" si="7"/>
        <v>-0.97061224489795916</v>
      </c>
      <c r="O19" s="29">
        <f t="shared" si="7"/>
        <v>-0.9854491017964071</v>
      </c>
      <c r="P19" s="29">
        <f t="shared" si="7"/>
        <v>-0.99422459893048121</v>
      </c>
      <c r="Q19" s="29">
        <f t="shared" si="7"/>
        <v>-0.9986956521739131</v>
      </c>
      <c r="R19" s="29">
        <f t="shared" si="7"/>
        <v>-1</v>
      </c>
      <c r="S19" s="29">
        <f t="shared" si="7"/>
        <v>-0.99890688259109295</v>
      </c>
      <c r="T19" s="29">
        <f t="shared" si="7"/>
        <v>-0.99595505617977531</v>
      </c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</row>
    <row r="20" spans="1:51" x14ac:dyDescent="0.2"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</row>
    <row r="21" spans="1:51" x14ac:dyDescent="0.2">
      <c r="C21" s="29">
        <f>C17*Inputs!$B$6</f>
        <v>0</v>
      </c>
      <c r="D21" s="29">
        <f>D17*Inputs!$B$6</f>
        <v>4.8514589937413644E-2</v>
      </c>
      <c r="E21" s="29">
        <f>E17*Inputs!$B$6</f>
        <v>0.1455437698122409</v>
      </c>
      <c r="F21" s="29">
        <f>F17*Inputs!$B$6</f>
        <v>0.24257294968706822</v>
      </c>
      <c r="G21" s="29">
        <f>G17*Inputs!$B$6</f>
        <v>0.3396021295618955</v>
      </c>
      <c r="H21" s="29">
        <f>H17*Inputs!$B$6</f>
        <v>0.48514589937413644</v>
      </c>
      <c r="I21" s="29">
        <f>I17*Inputs!$B$6</f>
        <v>0.72771884906120454</v>
      </c>
      <c r="J21" s="29">
        <f>J17*Inputs!$B$6</f>
        <v>0.97029179874827287</v>
      </c>
      <c r="K21" s="29">
        <f>K17*Inputs!$B$6</f>
        <v>1.4554376981224091</v>
      </c>
      <c r="L21" s="29">
        <f>L17*Inputs!$B$6</f>
        <v>1.9405835974965457</v>
      </c>
      <c r="M21" s="29">
        <f>M17*Inputs!$B$6</f>
        <v>2.425729496870682</v>
      </c>
      <c r="N21" s="29">
        <f>N17*Inputs!$B$6</f>
        <v>2.9108753962448182</v>
      </c>
      <c r="O21" s="29">
        <f>O17*Inputs!$B$6</f>
        <v>3.3960212956189544</v>
      </c>
      <c r="P21" s="29">
        <f>P17*Inputs!$B$6</f>
        <v>3.8811671949930915</v>
      </c>
      <c r="Q21" s="29">
        <f>Q17*Inputs!$B$6</f>
        <v>4.3663130943672277</v>
      </c>
      <c r="R21" s="29">
        <f>R17*Inputs!$B$6</f>
        <v>4.8514589937413639</v>
      </c>
      <c r="S21" s="29">
        <f t="shared" ref="S21:X21" si="8">R21+1</f>
        <v>5.8514589937413639</v>
      </c>
      <c r="T21" s="29">
        <f t="shared" si="8"/>
        <v>6.8514589937413639</v>
      </c>
      <c r="U21" s="29">
        <f t="shared" si="8"/>
        <v>7.8514589937413639</v>
      </c>
      <c r="V21" s="29">
        <f t="shared" si="8"/>
        <v>8.8514589937413639</v>
      </c>
      <c r="W21" s="29">
        <f t="shared" si="8"/>
        <v>9.8514589937413639</v>
      </c>
      <c r="X21" s="29">
        <f t="shared" si="8"/>
        <v>10.851458993741364</v>
      </c>
      <c r="Y21" s="29">
        <v>13.86</v>
      </c>
      <c r="Z21" s="29">
        <f>Y21</f>
        <v>13.86</v>
      </c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</row>
    <row r="22" spans="1:51" x14ac:dyDescent="0.2">
      <c r="C22" s="29">
        <f>C18*Inputs!$B$4/2</f>
        <v>0</v>
      </c>
      <c r="D22" s="29">
        <f>D18*Inputs!$B$4/2</f>
        <v>0.62114734246203007</v>
      </c>
      <c r="E22" s="29">
        <f>E18*Inputs!$B$4/2</f>
        <v>1.6340851132022487</v>
      </c>
      <c r="F22" s="29">
        <f>F18*Inputs!$B$4/2</f>
        <v>2.423864805277113</v>
      </c>
      <c r="G22" s="29">
        <f>G18*Inputs!$B$4/2</f>
        <v>3.0558009782959945</v>
      </c>
      <c r="H22" s="29">
        <f>H18*Inputs!$B$4/2</f>
        <v>3.7959059241734843</v>
      </c>
      <c r="I22" s="29">
        <f>I18*Inputs!$B$4/2</f>
        <v>4.669714770573715</v>
      </c>
      <c r="J22" s="29">
        <f>J18*Inputs!$B$4/2</f>
        <v>5.268380421714884</v>
      </c>
      <c r="K22" s="29">
        <f>K18*Inputs!$B$4/2</f>
        <v>6.0197899937497725</v>
      </c>
      <c r="L22" s="29">
        <f>L18*Inputs!$B$4/2</f>
        <v>6.4544701125247919</v>
      </c>
      <c r="M22" s="29">
        <f>M18*Inputs!$B$4/2</f>
        <v>6.7220567402099602</v>
      </c>
      <c r="N22" s="29">
        <f>N18*Inputs!$B$4/2</f>
        <v>6.8907513017399111</v>
      </c>
      <c r="O22" s="29">
        <f>O18*Inputs!$B$4/2</f>
        <v>6.9960838807632229</v>
      </c>
      <c r="P22" s="29">
        <f>P18*Inputs!$B$4/2</f>
        <v>7.0583845251429915</v>
      </c>
      <c r="Q22" s="29">
        <f>Q18*Inputs!$B$4/2</f>
        <v>7.0901262594135757</v>
      </c>
      <c r="R22" s="29">
        <f>R18*Inputs!$B$4/2</f>
        <v>7.0993863285377552</v>
      </c>
      <c r="S22" s="29">
        <f t="shared" ref="S22:Y23" si="9">R22</f>
        <v>7.0993863285377552</v>
      </c>
      <c r="T22" s="29">
        <f t="shared" si="9"/>
        <v>7.0993863285377552</v>
      </c>
      <c r="U22" s="29">
        <f t="shared" si="9"/>
        <v>7.0993863285377552</v>
      </c>
      <c r="V22" s="29">
        <f t="shared" si="9"/>
        <v>7.0993863285377552</v>
      </c>
      <c r="W22" s="29">
        <f t="shared" si="9"/>
        <v>7.0993863285377552</v>
      </c>
      <c r="X22" s="29">
        <f t="shared" si="9"/>
        <v>7.0993863285377552</v>
      </c>
      <c r="Y22" s="29">
        <f t="shared" si="9"/>
        <v>7.0993863285377552</v>
      </c>
      <c r="Z22" s="29">
        <v>0</v>
      </c>
      <c r="AA22" s="29">
        <v>6.86</v>
      </c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</row>
    <row r="23" spans="1:51" x14ac:dyDescent="0.2">
      <c r="C23" s="29">
        <f t="shared" ref="C23:R23" si="10">-C22</f>
        <v>0</v>
      </c>
      <c r="D23" s="29">
        <f t="shared" si="10"/>
        <v>-0.62114734246203007</v>
      </c>
      <c r="E23" s="29">
        <f t="shared" si="10"/>
        <v>-1.6340851132022487</v>
      </c>
      <c r="F23" s="29">
        <f t="shared" si="10"/>
        <v>-2.423864805277113</v>
      </c>
      <c r="G23" s="29">
        <f t="shared" si="10"/>
        <v>-3.0558009782959945</v>
      </c>
      <c r="H23" s="29">
        <f t="shared" si="10"/>
        <v>-3.7959059241734843</v>
      </c>
      <c r="I23" s="29">
        <f t="shared" si="10"/>
        <v>-4.669714770573715</v>
      </c>
      <c r="J23" s="29">
        <f t="shared" si="10"/>
        <v>-5.268380421714884</v>
      </c>
      <c r="K23" s="29">
        <f t="shared" si="10"/>
        <v>-6.0197899937497725</v>
      </c>
      <c r="L23" s="29">
        <f t="shared" si="10"/>
        <v>-6.4544701125247919</v>
      </c>
      <c r="M23" s="29">
        <f t="shared" si="10"/>
        <v>-6.7220567402099602</v>
      </c>
      <c r="N23" s="29">
        <f t="shared" si="10"/>
        <v>-6.8907513017399111</v>
      </c>
      <c r="O23" s="29">
        <f t="shared" si="10"/>
        <v>-6.9960838807632229</v>
      </c>
      <c r="P23" s="29">
        <f t="shared" si="10"/>
        <v>-7.0583845251429915</v>
      </c>
      <c r="Q23" s="29">
        <f t="shared" si="10"/>
        <v>-7.0901262594135757</v>
      </c>
      <c r="R23" s="29">
        <f t="shared" si="10"/>
        <v>-7.0993863285377552</v>
      </c>
      <c r="S23" s="29">
        <f t="shared" si="9"/>
        <v>-7.0993863285377552</v>
      </c>
      <c r="T23" s="29">
        <f t="shared" si="9"/>
        <v>-7.0993863285377552</v>
      </c>
      <c r="U23" s="29">
        <f t="shared" si="9"/>
        <v>-7.0993863285377552</v>
      </c>
      <c r="V23" s="29">
        <f t="shared" si="9"/>
        <v>-7.0993863285377552</v>
      </c>
      <c r="W23" s="29">
        <f t="shared" si="9"/>
        <v>-7.0993863285377552</v>
      </c>
      <c r="X23" s="29">
        <f t="shared" si="9"/>
        <v>-7.0993863285377552</v>
      </c>
      <c r="Y23" s="29">
        <f t="shared" si="9"/>
        <v>-7.0993863285377552</v>
      </c>
      <c r="Z23" s="29">
        <v>0</v>
      </c>
      <c r="AA23" s="29">
        <v>6.86</v>
      </c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</row>
    <row r="24" spans="1:51" x14ac:dyDescent="0.2"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</row>
    <row r="25" spans="1:51" x14ac:dyDescent="0.2">
      <c r="B25" s="34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Q25" s="55" t="s">
        <v>152</v>
      </c>
      <c r="AR25" s="59" t="s">
        <v>150</v>
      </c>
      <c r="AS25" s="59" t="s">
        <v>151</v>
      </c>
      <c r="AT25" s="98" t="s">
        <v>111</v>
      </c>
      <c r="AU25" s="98"/>
      <c r="AV25" s="59" t="s">
        <v>145</v>
      </c>
      <c r="AW25" s="59" t="s">
        <v>34</v>
      </c>
      <c r="AX25" s="59" t="s">
        <v>26</v>
      </c>
      <c r="AY25" s="59" t="s">
        <v>20</v>
      </c>
    </row>
    <row r="26" spans="1:51" x14ac:dyDescent="0.2">
      <c r="B26" s="34"/>
      <c r="C26" s="29">
        <v>0</v>
      </c>
      <c r="D26" s="29">
        <v>0.01</v>
      </c>
      <c r="E26" s="29">
        <v>0.03</v>
      </c>
      <c r="F26" s="29">
        <v>0.05</v>
      </c>
      <c r="G26" s="29">
        <v>7.0000000000000007E-2</v>
      </c>
      <c r="H26" s="29">
        <v>0.1</v>
      </c>
      <c r="I26" s="29">
        <v>0.15</v>
      </c>
      <c r="J26" s="29">
        <v>0.2</v>
      </c>
      <c r="K26" s="29">
        <v>0.3</v>
      </c>
      <c r="L26" s="29">
        <v>0.4</v>
      </c>
      <c r="M26" s="29">
        <v>0.5</v>
      </c>
      <c r="N26" s="29">
        <v>0.6</v>
      </c>
      <c r="O26" s="29">
        <v>0.7</v>
      </c>
      <c r="P26" s="29">
        <v>0.8</v>
      </c>
      <c r="Q26" s="29">
        <v>0.9</v>
      </c>
      <c r="R26" s="29">
        <v>1</v>
      </c>
      <c r="S26" s="29">
        <v>1.1000000000000001</v>
      </c>
      <c r="T26" s="29">
        <v>1.2</v>
      </c>
      <c r="U26" s="29"/>
      <c r="V26" s="29">
        <f>C$26*Sections!$R31+($C$1-Sections!$R31)</f>
        <v>3.9920961237765931</v>
      </c>
      <c r="W26" s="29">
        <f>D$26*Sections!$R31+($C$1-Sections!$R31)</f>
        <v>4.0006897524762408</v>
      </c>
      <c r="X26" s="29">
        <f>E$26*Sections!$R31+($C$1-Sections!$R31)</f>
        <v>4.0178770098755363</v>
      </c>
      <c r="Y26" s="29">
        <f>F$26*Sections!$R31+($C$1-Sections!$R31)</f>
        <v>4.0350642672748318</v>
      </c>
      <c r="Z26" s="29">
        <f>G$26*Sections!$R31+($C$1-Sections!$R31)</f>
        <v>4.0522515246741273</v>
      </c>
      <c r="AA26" s="29">
        <f>H$26*Sections!$R31+($C$1-Sections!$R31)</f>
        <v>4.0780324107730701</v>
      </c>
      <c r="AB26" s="29">
        <f>I$26*Sections!$R31+($C$1-Sections!$R31)</f>
        <v>4.1210005542713084</v>
      </c>
      <c r="AC26" s="29">
        <f>J$26*Sections!$R31+($C$1-Sections!$R31)</f>
        <v>4.1639686977695476</v>
      </c>
      <c r="AD26" s="29">
        <f>K$26*Sections!$R31+($C$1-Sections!$R31)</f>
        <v>4.2499049847660242</v>
      </c>
      <c r="AE26" s="29">
        <f>L$26*Sections!$R31+($C$1-Sections!$R31)</f>
        <v>4.3358412717625017</v>
      </c>
      <c r="AF26" s="29">
        <f>M$26*Sections!$R31+($C$1-Sections!$R31)</f>
        <v>4.4217775587589783</v>
      </c>
      <c r="AG26" s="29">
        <f>N$26*Sections!$R31+($C$1-Sections!$R31)</f>
        <v>4.5077138457554558</v>
      </c>
      <c r="AH26" s="29">
        <f>O$26*Sections!$R31+($C$1-Sections!$R31)</f>
        <v>4.5936501327519323</v>
      </c>
      <c r="AI26" s="29">
        <f>P$26*Sections!$R31+($C$1-Sections!$R31)</f>
        <v>4.6795864197484098</v>
      </c>
      <c r="AJ26" s="29">
        <f>Q$26*Sections!$R31+($C$1-Sections!$R31)</f>
        <v>4.7655227067448864</v>
      </c>
      <c r="AK26" s="29">
        <f>R$26*Sections!$R31+($C$1-Sections!$R31)</f>
        <v>4.8514589937413639</v>
      </c>
      <c r="AL26" s="29">
        <f>(AM26+AK26)/2</f>
        <v>6.0019944988356464</v>
      </c>
      <c r="AM26" s="234">
        <f>(AO26+AK26)/2</f>
        <v>7.1525300039299289</v>
      </c>
      <c r="AN26" s="29">
        <f>(AO26+AM26)/2</f>
        <v>8.3030655090242114</v>
      </c>
      <c r="AO26" s="231">
        <f>(_xll.Spline('Profile Calcs'!$G$45:$G$65,'Profile Calcs'!$H$45:$H$65,Sections!A31,TRUE))</f>
        <v>9.4536010141184939</v>
      </c>
      <c r="AR26" s="29">
        <f>-(-4*AM29+3*AK29+AO29)*(AO26-AK26)*Sections!R31/Sections!Q31</f>
        <v>0.47415335637588779</v>
      </c>
      <c r="AS26" s="29">
        <f>-(-4*AM29+3*AK29+AO29)/(AO26-AK26)</f>
        <v>0.11247348723844987</v>
      </c>
      <c r="AT26" s="29">
        <f>DEGREES(ATAN((AM29-AK29)/(AM26-AK26)))</f>
        <v>3.6942676460592621</v>
      </c>
      <c r="AU26" s="28">
        <f>((AX30-AX29)/AX30)/(AY30/Sections!$R$31)</f>
        <v>2.2387149307277976E-2</v>
      </c>
      <c r="AV26" s="29">
        <f>AL26/COS(AT26*PI()/180)</f>
        <v>6.0144921947961878</v>
      </c>
      <c r="AW26" s="28">
        <f>AV26*SIN(AT26*PI()/180)</f>
        <v>0.38752857599266938</v>
      </c>
      <c r="AX26" s="29">
        <f>AL29-AW26</f>
        <v>4.0317731948483457</v>
      </c>
      <c r="AY26" s="28">
        <v>0</v>
      </c>
    </row>
    <row r="27" spans="1:51" x14ac:dyDescent="0.2">
      <c r="A27" s="28">
        <v>20</v>
      </c>
      <c r="B27" s="28" t="s">
        <v>104</v>
      </c>
      <c r="C27" s="29">
        <f>W$3+W$4*Sections!$F31+W$5*Sections!$G31+W$6*Sections!$H31</f>
        <v>0</v>
      </c>
      <c r="D27" s="29">
        <f>X$3+X$4*Sections!$F31+X$5*Sections!$G31+X$6*Sections!$H31</f>
        <v>1.2261193348315628E-2</v>
      </c>
      <c r="E27" s="29">
        <f>Y$3+Y$4*Sections!$F31+Y$5*Sections!$G31+Y$6*Sections!$H31</f>
        <v>3.8320880369987931E-2</v>
      </c>
      <c r="F27" s="29">
        <f>Z$3+Z$4*Sections!$F31+Z$5*Sections!$G31+Z$6*Sections!$H31</f>
        <v>6.6232170633673121E-2</v>
      </c>
      <c r="G27" s="29">
        <f>AA$3+AA$4*Sections!$F31+AA$5*Sections!$G31+AA$6*Sections!$H31</f>
        <v>9.5764651359981218E-2</v>
      </c>
      <c r="H27" s="29">
        <f>AB$3+AB$4*Sections!$F31+AB$5*Sections!$G31+AB$6*Sections!$H31</f>
        <v>0.14261973119080257</v>
      </c>
      <c r="I27" s="29">
        <f>AC$3+AC$4*Sections!$F31+AC$5*Sections!$G31+AC$6*Sections!$H31</f>
        <v>0.22579197731405204</v>
      </c>
      <c r="J27" s="29">
        <f>AD$3+AD$4*Sections!$F31+AD$5*Sections!$G31+AD$6*Sections!$H31</f>
        <v>0.31270605510413146</v>
      </c>
      <c r="K27" s="29">
        <f>AE$3+AE$4*Sections!$F31+AE$5*Sections!$G31+AE$6*Sections!$H31</f>
        <v>0.48722754237784921</v>
      </c>
      <c r="L27" s="29">
        <f>AF$3+AF$4*Sections!$F31+AF$5*Sections!$G31+AF$6*Sections!$H31</f>
        <v>0.64839837097855568</v>
      </c>
      <c r="M27" s="29">
        <f>AG$3+AG$4*Sections!$F31+AG$5*Sections!$G31+AG$6*Sections!$H31</f>
        <v>0.78367832620158717</v>
      </c>
      <c r="N27" s="29">
        <f>AH$3+AH$4*Sections!$F31+AH$5*Sections!$G31+AH$6*Sections!$H31</f>
        <v>0.88577280067101749</v>
      </c>
      <c r="O27" s="29">
        <f>AI$3+AI$4*Sections!$F31+AI$5*Sections!$G31+AI$6*Sections!$H31</f>
        <v>0.95263279433965753</v>
      </c>
      <c r="P27" s="29">
        <f>AJ$3+AJ$4*Sections!$F31+AJ$5*Sections!$G31+AJ$6*Sections!$H31</f>
        <v>0.98745491448905665</v>
      </c>
      <c r="Q27" s="29">
        <f>AK$3+AK$4*Sections!$F31+AK$5*Sections!$G31+AK$6*Sections!$H31</f>
        <v>0.99868137572949234</v>
      </c>
      <c r="R27" s="29">
        <v>1</v>
      </c>
      <c r="S27" s="29">
        <f>AM$3+AM$4*Sections!$F31+AM$5*Sections!$G31+AM$6*Sections!$H31</f>
        <v>1.0103442165683256</v>
      </c>
      <c r="T27" s="29">
        <f>AN$3+AN$4*Sections!$F31+AN$5*Sections!$G31+AN$6*Sections!$H31</f>
        <v>1.0538930620309763</v>
      </c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34"/>
      <c r="AN27" s="29"/>
      <c r="AO27" s="231"/>
      <c r="AR27" s="29"/>
      <c r="AS27" s="29"/>
      <c r="AT27" s="29"/>
      <c r="AX27" s="29">
        <f>AL29</f>
        <v>4.4193017708410149</v>
      </c>
      <c r="AY27" s="29">
        <f>AL26</f>
        <v>6.0019944988356464</v>
      </c>
    </row>
    <row r="28" spans="1:51" x14ac:dyDescent="0.2">
      <c r="B28" s="28" t="s">
        <v>103</v>
      </c>
      <c r="C28" s="29" t="e">
        <f>Sections!$O31*C$13+Sections!$N31-Sections!$L31/(C$13+Sections!$M31)</f>
        <v>#DIV/0!</v>
      </c>
      <c r="D28" s="29">
        <f>Sections!$O31*D$13+Sections!$N31-Sections!$L31/(D$13+Sections!$M31)</f>
        <v>0.97783672218579476</v>
      </c>
      <c r="E28" s="29">
        <f>Sections!$O31*E$13+Sections!$N31-Sections!$L31/(E$13+Sections!$M31)</f>
        <v>0.97828446517194034</v>
      </c>
      <c r="F28" s="29">
        <f>Sections!$O31*F$13+Sections!$N31-Sections!$L31/(F$13+Sections!$M31)</f>
        <v>0.97873220815808581</v>
      </c>
      <c r="G28" s="29">
        <f>Sections!$O31*G$13+Sections!$N31-Sections!$L31/(G$13+Sections!$M31)</f>
        <v>0.9791799511442314</v>
      </c>
      <c r="H28" s="29">
        <f>Sections!$O31*H$13+Sections!$N31-Sections!$L31/(H$13+Sections!$M31)</f>
        <v>0.97985156562344977</v>
      </c>
      <c r="I28" s="29">
        <f>Sections!$O31*I$13+Sections!$N31-Sections!$L31/(I$13+Sections!$M31)</f>
        <v>0.98097092308881362</v>
      </c>
      <c r="J28" s="29">
        <f>Sections!$O31*J$13+Sections!$N31-Sections!$L31/(J$13+Sections!$M31)</f>
        <v>0.98209028055417757</v>
      </c>
      <c r="K28" s="29">
        <f>Sections!$O31*K$13+Sections!$N31-Sections!$L31/(K$13+Sections!$M31)</f>
        <v>0.98432899548490538</v>
      </c>
      <c r="L28" s="29">
        <f>Sections!$O31*L$13+Sections!$N31-Sections!$L31/(L$13+Sections!$M31)</f>
        <v>0.98656771041563318</v>
      </c>
      <c r="M28" s="29">
        <f>Sections!$O31*M$13+Sections!$N31-Sections!$L31/(M$13+Sections!$M31)</f>
        <v>0.98880642534636098</v>
      </c>
      <c r="N28" s="29">
        <f>Sections!$O31*N$13+Sections!$N31-Sections!$L31/(N$13+Sections!$M31)</f>
        <v>0.99104514027708879</v>
      </c>
      <c r="O28" s="29">
        <f>Sections!$O31*O$13+Sections!$N31-Sections!$L31/(O$13+Sections!$M31)</f>
        <v>0.99328385520781659</v>
      </c>
      <c r="P28" s="29">
        <f>Sections!$O31*P$13+Sections!$N31-Sections!$L31/(P$13+Sections!$M31)</f>
        <v>0.99552257013854439</v>
      </c>
      <c r="Q28" s="29">
        <f>Sections!$O31*Q$13+Sections!$N31-Sections!$L31/(Q$13+Sections!$M31)</f>
        <v>0.9977612850692722</v>
      </c>
      <c r="R28" s="29">
        <v>1</v>
      </c>
      <c r="S28" s="29">
        <f>Sections!$O31*S$13+Sections!$N31-Sections!$L31/(S$13+Sections!$M31)</f>
        <v>1.0022387149307277</v>
      </c>
      <c r="T28" s="29">
        <f>Sections!$O31*T$13+Sections!$N31-Sections!$L31/(T$13+Sections!$M31)</f>
        <v>1.0044774298614556</v>
      </c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34"/>
      <c r="AN28" s="29"/>
      <c r="AO28" s="231"/>
      <c r="AR28" s="29"/>
      <c r="AS28" s="29"/>
      <c r="AT28" s="29"/>
      <c r="AV28" s="38"/>
      <c r="AW28" s="38"/>
      <c r="AX28" s="38"/>
      <c r="AY28" s="38"/>
    </row>
    <row r="29" spans="1:51" x14ac:dyDescent="0.2">
      <c r="C29" s="29">
        <f>IF(Sections!$B31&lt;0.72,C27,C28)</f>
        <v>0</v>
      </c>
      <c r="D29" s="29">
        <f>IF(Sections!$B31&lt;0.72,D27,D28)</f>
        <v>1.2261193348315628E-2</v>
      </c>
      <c r="E29" s="29">
        <f>IF(Sections!$B31&lt;0.72,E27,E28)</f>
        <v>3.8320880369987931E-2</v>
      </c>
      <c r="F29" s="29">
        <f>IF(Sections!$B31&lt;0.72,F27,F28)</f>
        <v>6.6232170633673121E-2</v>
      </c>
      <c r="G29" s="29">
        <f>IF(Sections!$B31&lt;0.72,G27,G28)</f>
        <v>9.5764651359981218E-2</v>
      </c>
      <c r="H29" s="29">
        <f>IF(Sections!$B31&lt;0.72,H27,H28)</f>
        <v>0.14261973119080257</v>
      </c>
      <c r="I29" s="29">
        <f>IF(Sections!$B31&lt;0.72,I27,I28)</f>
        <v>0.22579197731405204</v>
      </c>
      <c r="J29" s="29">
        <f>IF(Sections!$B31&lt;0.72,J27,J28)</f>
        <v>0.31270605510413146</v>
      </c>
      <c r="K29" s="29">
        <f>IF(Sections!$B31&lt;0.72,K27,K28)</f>
        <v>0.48722754237784921</v>
      </c>
      <c r="L29" s="29">
        <f>IF(Sections!$B31&lt;0.72,L27,L28)</f>
        <v>0.64839837097855568</v>
      </c>
      <c r="M29" s="29">
        <f>IF(Sections!$B31&lt;0.72,M27,M28)</f>
        <v>0.78367832620158717</v>
      </c>
      <c r="N29" s="29">
        <f>IF(Sections!$B31&lt;0.72,N27,N28)</f>
        <v>0.88577280067101749</v>
      </c>
      <c r="O29" s="29">
        <f>IF(Sections!$B31&lt;0.72,O27,O28)</f>
        <v>0.95263279433965753</v>
      </c>
      <c r="P29" s="29">
        <f>IF(Sections!$B31&lt;0.72,P27,P28)</f>
        <v>0.98745491448905665</v>
      </c>
      <c r="Q29" s="29">
        <f>IF(Sections!$B31&lt;0.72,Q27,Q28)</f>
        <v>0.99868137572949234</v>
      </c>
      <c r="R29" s="29">
        <v>1</v>
      </c>
      <c r="S29" s="29">
        <f>IF(Sections!$B31&lt;0.72,S27,S28)</f>
        <v>1.0103442165683256</v>
      </c>
      <c r="T29" s="29">
        <f>IF(Sections!$B31&lt;0.72,T27,T28)</f>
        <v>1.0538930620309763</v>
      </c>
      <c r="U29" s="29"/>
      <c r="V29" s="29">
        <f>C29*Sections!$Q31</f>
        <v>0</v>
      </c>
      <c r="W29" s="29">
        <f>D29*Sections!$Q31</f>
        <v>5.2937166452104896E-2</v>
      </c>
      <c r="X29" s="29">
        <f>E29*Sections!$Q31</f>
        <v>0.16544872632776214</v>
      </c>
      <c r="Y29" s="29">
        <f>F29*Sections!$Q31</f>
        <v>0.2859545022834683</v>
      </c>
      <c r="Z29" s="29">
        <f>G29*Sections!$Q31</f>
        <v>0.41345969721352932</v>
      </c>
      <c r="AA29" s="29">
        <f>H29*Sections!$Q31</f>
        <v>0.61575445675841423</v>
      </c>
      <c r="AB29" s="29">
        <f>I29*Sections!$Q31</f>
        <v>0.97484699466596947</v>
      </c>
      <c r="AC29" s="29">
        <f>J29*Sections!$Q31</f>
        <v>1.3500947272724113</v>
      </c>
      <c r="AD29" s="29">
        <f>K29*Sections!$Q31</f>
        <v>2.103583621772787</v>
      </c>
      <c r="AE29" s="29">
        <f>L29*Sections!$Q31</f>
        <v>2.7994316308926606</v>
      </c>
      <c r="AF29" s="29">
        <f>M29*Sections!$Q31</f>
        <v>3.3834969256674712</v>
      </c>
      <c r="AG29" s="29">
        <f>N29*Sections!$Q31</f>
        <v>3.8242853575349827</v>
      </c>
      <c r="AH29" s="29">
        <f>O29*Sections!$Q31</f>
        <v>4.1129504583352805</v>
      </c>
      <c r="AI29" s="29">
        <f>P29*Sections!$Q31</f>
        <v>4.2632934403107807</v>
      </c>
      <c r="AJ29" s="29">
        <f>Q29*Sections!$Q31</f>
        <v>4.3117631961061811</v>
      </c>
      <c r="AK29" s="29">
        <f>R29*Sections!$Q31</f>
        <v>4.3174562987685938</v>
      </c>
      <c r="AL29" s="29">
        <f>(2*AO29+2*AK29-4*AM29)*0.25^2+(4*AM29-3*AK29-AO29)*0.25+AK29</f>
        <v>4.4193017708410149</v>
      </c>
      <c r="AM29" s="234">
        <f>_xll.Spline('Mid Upr WL Opt1 Calcs'!$O$24:$O$44,'Cxx Selected'!$I$77:$I$97,Sections!A31,TRUE)</f>
        <v>4.4660287061590669</v>
      </c>
      <c r="AN29" s="29">
        <f>(2*AO29+2*AK29-4*AM29)*0.75^2+(4*AM29-3*AK29-AO29)*0.75+AK29</f>
        <v>4.4576371047227505</v>
      </c>
      <c r="AO29" s="231">
        <f>_xll.Spline('CWD Opt1 Calcs'!$J$26:$J$46,'Cxx Selected'!$I$52:$I$72,Sections!A31,TRUE)</f>
        <v>4.394126966532065</v>
      </c>
      <c r="AR29" s="29"/>
      <c r="AS29" s="29"/>
      <c r="AT29" s="29"/>
      <c r="AV29" s="38"/>
      <c r="AW29" s="38"/>
      <c r="AX29" s="36">
        <f>AK29-AS26*AK26</f>
        <v>3.7717957875481618</v>
      </c>
      <c r="AY29" s="38">
        <v>0</v>
      </c>
    </row>
    <row r="30" spans="1:51" x14ac:dyDescent="0.2"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>
        <f t="shared" ref="V30:AO30" si="11">-V29</f>
        <v>0</v>
      </c>
      <c r="W30" s="29">
        <f t="shared" si="11"/>
        <v>-5.2937166452104896E-2</v>
      </c>
      <c r="X30" s="29">
        <f t="shared" si="11"/>
        <v>-0.16544872632776214</v>
      </c>
      <c r="Y30" s="29">
        <f t="shared" si="11"/>
        <v>-0.2859545022834683</v>
      </c>
      <c r="Z30" s="29">
        <f t="shared" si="11"/>
        <v>-0.41345969721352932</v>
      </c>
      <c r="AA30" s="29">
        <f t="shared" si="11"/>
        <v>-0.61575445675841423</v>
      </c>
      <c r="AB30" s="29">
        <f t="shared" si="11"/>
        <v>-0.97484699466596947</v>
      </c>
      <c r="AC30" s="29">
        <f t="shared" si="11"/>
        <v>-1.3500947272724113</v>
      </c>
      <c r="AD30" s="29">
        <f t="shared" si="11"/>
        <v>-2.103583621772787</v>
      </c>
      <c r="AE30" s="29">
        <f t="shared" si="11"/>
        <v>-2.7994316308926606</v>
      </c>
      <c r="AF30" s="29">
        <f t="shared" si="11"/>
        <v>-3.3834969256674712</v>
      </c>
      <c r="AG30" s="29">
        <f t="shared" si="11"/>
        <v>-3.8242853575349827</v>
      </c>
      <c r="AH30" s="29">
        <f t="shared" si="11"/>
        <v>-4.1129504583352805</v>
      </c>
      <c r="AI30" s="29">
        <f t="shared" si="11"/>
        <v>-4.2632934403107807</v>
      </c>
      <c r="AJ30" s="29">
        <f t="shared" si="11"/>
        <v>-4.3117631961061811</v>
      </c>
      <c r="AK30" s="29">
        <f t="shared" si="11"/>
        <v>-4.3174562987685938</v>
      </c>
      <c r="AL30" s="29">
        <f>(2*AO30+2*AK30-4*AM30)*0.25^2+(4*AM30-3*AK30-AO30)*0.25+AK30</f>
        <v>-4.4193017708410149</v>
      </c>
      <c r="AM30" s="234">
        <f t="shared" si="11"/>
        <v>-4.4660287061590669</v>
      </c>
      <c r="AN30" s="29">
        <f>(2*AO30+2*AK30-4*AM30)*0.75^2+(4*AM30-3*AK30-AO30)*0.75+AK30</f>
        <v>-4.4576371047227505</v>
      </c>
      <c r="AO30" s="231">
        <f t="shared" si="11"/>
        <v>-4.394126966532065</v>
      </c>
      <c r="AR30" s="29"/>
      <c r="AS30" s="29"/>
      <c r="AT30" s="29"/>
      <c r="AV30" s="38"/>
      <c r="AW30" s="38"/>
      <c r="AX30" s="36">
        <f>AK29</f>
        <v>4.3174562987685938</v>
      </c>
      <c r="AY30" s="36">
        <f>AK26</f>
        <v>4.8514589937413639</v>
      </c>
    </row>
    <row r="31" spans="1:51" x14ac:dyDescent="0.2"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34"/>
      <c r="AN31" s="29"/>
      <c r="AO31" s="231"/>
      <c r="AR31" s="29"/>
      <c r="AS31" s="29"/>
      <c r="AT31" s="29"/>
    </row>
    <row r="32" spans="1:51" x14ac:dyDescent="0.2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>
        <f>C$26*Sections!$R32+($C$1-Sections!$R32)</f>
        <v>3.2501121381991185</v>
      </c>
      <c r="W32" s="29">
        <f>D$26*Sections!$R32+($C$1-Sections!$R32)</f>
        <v>3.266125606754541</v>
      </c>
      <c r="X32" s="29">
        <f>E$26*Sections!$R32+($C$1-Sections!$R32)</f>
        <v>3.298152543865386</v>
      </c>
      <c r="Y32" s="29">
        <f>F$26*Sections!$R32+($C$1-Sections!$R32)</f>
        <v>3.3301794809762306</v>
      </c>
      <c r="Z32" s="29">
        <f>G$26*Sections!$R32+($C$1-Sections!$R32)</f>
        <v>3.3622064180870757</v>
      </c>
      <c r="AA32" s="29">
        <f>H$26*Sections!$R32+($C$1-Sections!$R32)</f>
        <v>3.4102468237533432</v>
      </c>
      <c r="AB32" s="29">
        <f>I$26*Sections!$R32+($C$1-Sections!$R32)</f>
        <v>3.4903141665304553</v>
      </c>
      <c r="AC32" s="29">
        <f>J$26*Sections!$R32+($C$1-Sections!$R32)</f>
        <v>3.5703815093075675</v>
      </c>
      <c r="AD32" s="29">
        <f>K$26*Sections!$R32+($C$1-Sections!$R32)</f>
        <v>3.7305161948617922</v>
      </c>
      <c r="AE32" s="29">
        <f>L$26*Sections!$R32+($C$1-Sections!$R32)</f>
        <v>3.8906508804160165</v>
      </c>
      <c r="AF32" s="29">
        <f>M$26*Sections!$R32+($C$1-Sections!$R32)</f>
        <v>4.0507855659702408</v>
      </c>
      <c r="AG32" s="29">
        <f>N$26*Sections!$R32+($C$1-Sections!$R32)</f>
        <v>4.2109202515244659</v>
      </c>
      <c r="AH32" s="29">
        <f>O$26*Sections!$R32+($C$1-Sections!$R32)</f>
        <v>4.3710549370786902</v>
      </c>
      <c r="AI32" s="29">
        <f>P$26*Sections!$R32+($C$1-Sections!$R32)</f>
        <v>4.5311896226329145</v>
      </c>
      <c r="AJ32" s="29">
        <f>Q$26*Sections!$R32+($C$1-Sections!$R32)</f>
        <v>4.6913243081871396</v>
      </c>
      <c r="AK32" s="29">
        <f>R$26*Sections!$R32+($C$1-Sections!$R32)</f>
        <v>4.8514589937413639</v>
      </c>
      <c r="AL32" s="29">
        <f>(AM32+AK32)/2</f>
        <v>5.9896851881849322</v>
      </c>
      <c r="AM32" s="234">
        <f>(AO32+AK32)/2</f>
        <v>7.1279113826284997</v>
      </c>
      <c r="AN32" s="29">
        <f>(AO32+AM32)/2</f>
        <v>8.2661375770720671</v>
      </c>
      <c r="AO32" s="231">
        <f>(_xll.Spline('Profile Calcs'!$G$45:$G$65,'Profile Calcs'!$H$45:$H$65,Sections!A32,TRUE))</f>
        <v>9.4043637715156354</v>
      </c>
      <c r="AR32" s="29">
        <f>-(-4*AM35+3*AK35+AO35)*(AO32-AK32)*Sections!R32/Sections!Q32</f>
        <v>1.500235073562469</v>
      </c>
      <c r="AS32" s="29">
        <f>-(-4*AM35+3*AK35+AO35)/(AO32-AK32)</f>
        <v>0.21473759367731651</v>
      </c>
      <c r="AT32" s="29">
        <f>DEGREES(ATAN((AL35-AK35)/(AL32-AK32)))</f>
        <v>9.7459609434486456</v>
      </c>
      <c r="AU32" s="28">
        <f>((AX36-AX35)/AX36)/(AY36/Sections!$R$32)</f>
        <v>7.2373933974996349E-2</v>
      </c>
      <c r="AV32" s="29">
        <f>AL32/COS(AT32*PI()/180)</f>
        <v>6.0773941720245954</v>
      </c>
      <c r="AW32" s="28">
        <f>AV32*SIN(AT32*PI()/180)</f>
        <v>1.0287814484119344</v>
      </c>
      <c r="AX32" s="29">
        <f>AL35-AW32</f>
        <v>3.9180065110822406</v>
      </c>
      <c r="AY32" s="28">
        <v>0</v>
      </c>
    </row>
    <row r="33" spans="1:54" x14ac:dyDescent="0.2">
      <c r="A33" s="28">
        <v>19</v>
      </c>
      <c r="B33" s="28" t="s">
        <v>104</v>
      </c>
      <c r="C33" s="29">
        <f>W$3+W$4*Sections!$F32+W$5*Sections!$G32+W$6*Sections!$H32</f>
        <v>0</v>
      </c>
      <c r="D33" s="29">
        <f>X$3+X$4*Sections!$F32+X$5*Sections!$G32+X$6*Sections!$H32</f>
        <v>1.018426354580877E-2</v>
      </c>
      <c r="E33" s="29">
        <f>Y$3+Y$4*Sections!$F32+Y$5*Sections!$G32+Y$6*Sections!$H32</f>
        <v>3.2512861908398832E-2</v>
      </c>
      <c r="F33" s="29">
        <f>Z$3+Z$4*Sections!$F32+Z$5*Sections!$G32+Z$6*Sections!$H32</f>
        <v>5.7222691933997025E-2</v>
      </c>
      <c r="G33" s="29">
        <f>AA$3+AA$4*Sections!$F32+AA$5*Sections!$G32+AA$6*Sections!$H32</f>
        <v>8.4043669348008582E-2</v>
      </c>
      <c r="H33" s="29">
        <f>AB$3+AB$4*Sections!$F32+AB$5*Sections!$G32+AB$6*Sections!$H32</f>
        <v>0.12766677930605094</v>
      </c>
      <c r="I33" s="29">
        <f>AC$3+AC$4*Sections!$F32+AC$5*Sections!$G32+AC$6*Sections!$H32</f>
        <v>0.20737943793035257</v>
      </c>
      <c r="J33" s="29">
        <f>AD$3+AD$4*Sections!$F32+AD$5*Sections!$G32+AD$6*Sections!$H32</f>
        <v>0.29278961877071369</v>
      </c>
      <c r="K33" s="29">
        <f>AE$3+AE$4*Sections!$F32+AE$5*Sections!$G32+AE$6*Sections!$H32</f>
        <v>0.46832722670296223</v>
      </c>
      <c r="L33" s="29">
        <f>AF$3+AF$4*Sections!$F32+AF$5*Sections!$G32+AF$6*Sections!$H32</f>
        <v>0.63334671380569996</v>
      </c>
      <c r="M33" s="29">
        <f>AG$3+AG$4*Sections!$F32+AG$5*Sections!$G32+AG$6*Sections!$H32</f>
        <v>0.77302359317575797</v>
      </c>
      <c r="N33" s="29">
        <f>AH$3+AH$4*Sections!$F32+AH$5*Sections!$G32+AH$6*Sections!$H32</f>
        <v>0.8786417803038975</v>
      </c>
      <c r="O33" s="29">
        <f>AI$3+AI$4*Sections!$F32+AI$5*Sections!$G32+AI$6*Sections!$H32</f>
        <v>0.94759359307480873</v>
      </c>
      <c r="P33" s="29">
        <f>AJ$3+AJ$4*Sections!$F32+AJ$5*Sections!$G32+AJ$6*Sections!$H32</f>
        <v>0.98337975176711079</v>
      </c>
      <c r="Q33" s="29">
        <f>AK$3+AK$4*Sections!$F32+AK$5*Sections!$G32+AK$6*Sections!$H32</f>
        <v>0.99560937905334457</v>
      </c>
      <c r="R33" s="29">
        <v>1</v>
      </c>
      <c r="S33" s="29">
        <f>AM$3+AM$4*Sections!$F32+AM$5*Sections!$G32+AM$6*Sections!$H32</f>
        <v>1.0183775420674692</v>
      </c>
      <c r="T33" s="29">
        <f>AN$3+AN$4*Sections!$F32+AN$5*Sections!$G32+AN$6*Sections!$H32</f>
        <v>1.078676335110097</v>
      </c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34"/>
      <c r="AN33" s="29"/>
      <c r="AO33" s="231"/>
      <c r="AR33" s="29"/>
      <c r="AS33" s="29"/>
      <c r="AT33" s="29"/>
      <c r="AX33" s="29">
        <f>AL35</f>
        <v>4.9467879594941753</v>
      </c>
      <c r="AY33" s="29">
        <f>AL32</f>
        <v>5.9896851881849322</v>
      </c>
    </row>
    <row r="34" spans="1:54" s="38" customFormat="1" x14ac:dyDescent="0.2">
      <c r="B34" s="28" t="s">
        <v>103</v>
      </c>
      <c r="C34" s="29" t="e">
        <f>Sections!$O32*C$13+Sections!$N32-Sections!$L32/(C$13+Sections!$M32)</f>
        <v>#DIV/0!</v>
      </c>
      <c r="D34" s="29">
        <f>Sections!$O32*D$13+Sections!$N32-Sections!$L32/(D$13+Sections!$M32)</f>
        <v>0.92834980536475364</v>
      </c>
      <c r="E34" s="29">
        <f>Sections!$O32*E$13+Sections!$N32-Sections!$L32/(E$13+Sections!$M32)</f>
        <v>0.92979728404425355</v>
      </c>
      <c r="F34" s="29">
        <f>Sections!$O32*F$13+Sections!$N32-Sections!$L32/(F$13+Sections!$M32)</f>
        <v>0.93124476272375345</v>
      </c>
      <c r="G34" s="29">
        <f>Sections!$O32*G$13+Sections!$N32-Sections!$L32/(G$13+Sections!$M32)</f>
        <v>0.93269224140325335</v>
      </c>
      <c r="H34" s="29">
        <f>Sections!$O32*H$13+Sections!$N32-Sections!$L32/(H$13+Sections!$M32)</f>
        <v>0.93486345942250326</v>
      </c>
      <c r="I34" s="29">
        <f>Sections!$O32*I$13+Sections!$N32-Sections!$L32/(I$13+Sections!$M32)</f>
        <v>0.93848215612125307</v>
      </c>
      <c r="J34" s="29">
        <f>Sections!$O32*J$13+Sections!$N32-Sections!$L32/(J$13+Sections!$M32)</f>
        <v>0.94210085282000289</v>
      </c>
      <c r="K34" s="29">
        <f>Sections!$O32*K$13+Sections!$N32-Sections!$L32/(K$13+Sections!$M32)</f>
        <v>0.94933824621750251</v>
      </c>
      <c r="L34" s="29">
        <f>Sections!$O32*L$13+Sections!$N32-Sections!$L32/(L$13+Sections!$M32)</f>
        <v>0.95657563961500214</v>
      </c>
      <c r="M34" s="29">
        <f>Sections!$O32*M$13+Sections!$N32-Sections!$L32/(M$13+Sections!$M32)</f>
        <v>0.96381303301250176</v>
      </c>
      <c r="N34" s="29">
        <f>Sections!$O32*N$13+Sections!$N32-Sections!$L32/(N$13+Sections!$M32)</f>
        <v>0.9710504264100015</v>
      </c>
      <c r="O34" s="29">
        <f>Sections!$O32*O$13+Sections!$N32-Sections!$L32/(O$13+Sections!$M32)</f>
        <v>0.97828781980750112</v>
      </c>
      <c r="P34" s="29">
        <f>Sections!$O32*P$13+Sections!$N32-Sections!$L32/(P$13+Sections!$M32)</f>
        <v>0.98552521320500075</v>
      </c>
      <c r="Q34" s="29">
        <f>Sections!$O32*Q$13+Sections!$N32-Sections!$L32/(Q$13+Sections!$M32)</f>
        <v>0.99276260660250037</v>
      </c>
      <c r="R34" s="29">
        <v>1</v>
      </c>
      <c r="S34" s="29">
        <f>Sections!$O32*S$13+Sections!$N32-Sections!$L32/(S$13+Sections!$M32)</f>
        <v>1.0072373933974996</v>
      </c>
      <c r="T34" s="29">
        <f>Sections!$O32*T$13+Sections!$N32-Sections!$L32/(T$13+Sections!$M32)</f>
        <v>1.0144747867949993</v>
      </c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29"/>
      <c r="AM34" s="234"/>
      <c r="AN34" s="29"/>
      <c r="AO34" s="231"/>
      <c r="AP34" s="28"/>
      <c r="AQ34" s="28"/>
      <c r="AR34" s="29"/>
      <c r="AS34" s="29"/>
      <c r="AT34" s="36"/>
    </row>
    <row r="35" spans="1:54" s="38" customFormat="1" x14ac:dyDescent="0.2">
      <c r="C35" s="29">
        <f>IF(Sections!$B32&lt;0.72,C33,C34)</f>
        <v>0</v>
      </c>
      <c r="D35" s="29">
        <f>IF(Sections!$B32&lt;0.72,D33,D34)</f>
        <v>1.018426354580877E-2</v>
      </c>
      <c r="E35" s="29">
        <f>IF(Sections!$B32&lt;0.72,E33,E34)</f>
        <v>3.2512861908398832E-2</v>
      </c>
      <c r="F35" s="29">
        <f>IF(Sections!$B32&lt;0.72,F33,F34)</f>
        <v>5.7222691933997025E-2</v>
      </c>
      <c r="G35" s="29">
        <f>IF(Sections!$B32&lt;0.72,G33,G34)</f>
        <v>8.4043669348008582E-2</v>
      </c>
      <c r="H35" s="29">
        <f>IF(Sections!$B32&lt;0.72,H33,H34)</f>
        <v>0.12766677930605094</v>
      </c>
      <c r="I35" s="29">
        <f>IF(Sections!$B32&lt;0.72,I33,I34)</f>
        <v>0.20737943793035257</v>
      </c>
      <c r="J35" s="29">
        <f>IF(Sections!$B32&lt;0.72,J33,J34)</f>
        <v>0.29278961877071369</v>
      </c>
      <c r="K35" s="29">
        <f>IF(Sections!$B32&lt;0.72,K33,K34)</f>
        <v>0.46832722670296223</v>
      </c>
      <c r="L35" s="29">
        <f>IF(Sections!$B32&lt;0.72,L33,L34)</f>
        <v>0.63334671380569996</v>
      </c>
      <c r="M35" s="29">
        <f>IF(Sections!$B32&lt;0.72,M33,M34)</f>
        <v>0.77302359317575797</v>
      </c>
      <c r="N35" s="29">
        <f>IF(Sections!$B32&lt;0.72,N33,N34)</f>
        <v>0.8786417803038975</v>
      </c>
      <c r="O35" s="29">
        <f>IF(Sections!$B32&lt;0.72,O33,O34)</f>
        <v>0.94759359307480873</v>
      </c>
      <c r="P35" s="29">
        <f>IF(Sections!$B32&lt;0.72,P33,P34)</f>
        <v>0.98337975176711079</v>
      </c>
      <c r="Q35" s="29">
        <f>IF(Sections!$B32&lt;0.72,Q33,Q34)</f>
        <v>0.99560937905334457</v>
      </c>
      <c r="R35" s="29">
        <v>1</v>
      </c>
      <c r="S35" s="29">
        <f>IF(Sections!$B32&lt;0.72,S33,S34)</f>
        <v>1.0183775420674692</v>
      </c>
      <c r="T35" s="29">
        <f>IF(Sections!$B32&lt;0.72,T33,T34)</f>
        <v>1.078676335110097</v>
      </c>
      <c r="U35" s="36"/>
      <c r="V35" s="29">
        <f>C35*Sections!$Q32</f>
        <v>0</v>
      </c>
      <c r="W35" s="29">
        <f>D35*Sections!$Q32</f>
        <v>4.8388364445049466E-2</v>
      </c>
      <c r="X35" s="29">
        <f>E35*Sections!$Q32</f>
        <v>0.15447795553391994</v>
      </c>
      <c r="Y35" s="29">
        <f>F35*Sections!$Q32</f>
        <v>0.27188146294275328</v>
      </c>
      <c r="Z35" s="29">
        <f>G35*Sections!$Q32</f>
        <v>0.39931563862409036</v>
      </c>
      <c r="AA35" s="29">
        <f>H35*Sections!$Q32</f>
        <v>0.60658157723434158</v>
      </c>
      <c r="AB35" s="29">
        <f>I35*Sections!$Q32</f>
        <v>0.98531933859008525</v>
      </c>
      <c r="AC35" s="29">
        <f>J35*Sections!$Q32</f>
        <v>1.3911276662351226</v>
      </c>
      <c r="AD35" s="29">
        <f>K35*Sections!$Q32</f>
        <v>2.2251573148426997</v>
      </c>
      <c r="AE35" s="29">
        <f>L35*Sections!$Q32</f>
        <v>3.0092123470544858</v>
      </c>
      <c r="AF35" s="29">
        <f>M35*Sections!$Q32</f>
        <v>3.6728573630249404</v>
      </c>
      <c r="AG35" s="29">
        <f>N35*Sections!$Q32</f>
        <v>4.1746797390655823</v>
      </c>
      <c r="AH35" s="29">
        <f>O35*Sections!$Q32</f>
        <v>4.5022896276449833</v>
      </c>
      <c r="AI35" s="29">
        <f>P35*Sections!$Q32</f>
        <v>4.672319957388769</v>
      </c>
      <c r="AJ35" s="29">
        <f>Q35*Sections!$Q32</f>
        <v>4.7304264330795851</v>
      </c>
      <c r="AK35" s="29">
        <f>R35*Sections!$Q32</f>
        <v>4.7512875356572248</v>
      </c>
      <c r="AL35" s="29">
        <f>(2*AO35+2*AK35-4*AM35)*0.25^2+(4*AM35-3*AK35-AO35)*0.25+AK35</f>
        <v>4.9467879594941753</v>
      </c>
      <c r="AM35" s="234">
        <f>_xll.Spline('Mid Upr WL Opt1 Calcs'!$O$24:$O$44,'Cxx Selected'!$I$77:$I$97,Sections!A32,TRUE)</f>
        <v>5.044449322894426</v>
      </c>
      <c r="AN35" s="29">
        <f>(2*AO35+2*AK35-4*AM35)*0.75^2+(4*AM35-3*AK35-AO35)*0.75+AK35</f>
        <v>5.0442716258579754</v>
      </c>
      <c r="AO35" s="231">
        <f>_xll.Spline('CWD Opt1 Calcs'!$J$26:$J$46,'Cxx Selected'!$I$52:$I$72,Sections!A32,TRUE)</f>
        <v>4.9462548683848251</v>
      </c>
      <c r="AP35" s="28"/>
      <c r="AQ35" s="28"/>
      <c r="AR35" s="29"/>
      <c r="AS35" s="29"/>
      <c r="AT35" s="36"/>
      <c r="AX35" s="36">
        <f>AK35-AS32*AK32</f>
        <v>3.709496905517029</v>
      </c>
      <c r="AY35" s="38">
        <v>0</v>
      </c>
    </row>
    <row r="36" spans="1:54" s="38" customFormat="1" x14ac:dyDescent="0.2"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36"/>
      <c r="V36" s="29">
        <f t="shared" ref="V36:AO36" si="12">-V35</f>
        <v>0</v>
      </c>
      <c r="W36" s="29">
        <f t="shared" si="12"/>
        <v>-4.8388364445049466E-2</v>
      </c>
      <c r="X36" s="29">
        <f t="shared" si="12"/>
        <v>-0.15447795553391994</v>
      </c>
      <c r="Y36" s="29">
        <f t="shared" si="12"/>
        <v>-0.27188146294275328</v>
      </c>
      <c r="Z36" s="29">
        <f t="shared" si="12"/>
        <v>-0.39931563862409036</v>
      </c>
      <c r="AA36" s="29">
        <f t="shared" si="12"/>
        <v>-0.60658157723434158</v>
      </c>
      <c r="AB36" s="29">
        <f t="shared" si="12"/>
        <v>-0.98531933859008525</v>
      </c>
      <c r="AC36" s="29">
        <f t="shared" si="12"/>
        <v>-1.3911276662351226</v>
      </c>
      <c r="AD36" s="29">
        <f t="shared" si="12"/>
        <v>-2.2251573148426997</v>
      </c>
      <c r="AE36" s="29">
        <f t="shared" si="12"/>
        <v>-3.0092123470544858</v>
      </c>
      <c r="AF36" s="29">
        <f t="shared" si="12"/>
        <v>-3.6728573630249404</v>
      </c>
      <c r="AG36" s="29">
        <f t="shared" si="12"/>
        <v>-4.1746797390655823</v>
      </c>
      <c r="AH36" s="29">
        <f t="shared" si="12"/>
        <v>-4.5022896276449833</v>
      </c>
      <c r="AI36" s="29">
        <f t="shared" si="12"/>
        <v>-4.672319957388769</v>
      </c>
      <c r="AJ36" s="29">
        <f t="shared" si="12"/>
        <v>-4.7304264330795851</v>
      </c>
      <c r="AK36" s="29">
        <f t="shared" si="12"/>
        <v>-4.7512875356572248</v>
      </c>
      <c r="AL36" s="29">
        <f>(2*AO36+2*AK36-4*AM36)*0.25^2+(4*AM36-3*AK36-AO36)*0.25+AK36</f>
        <v>-4.9467879594941753</v>
      </c>
      <c r="AM36" s="234">
        <f t="shared" si="12"/>
        <v>-5.044449322894426</v>
      </c>
      <c r="AN36" s="29">
        <f>(2*AO36+2*AK36-4*AM36)*0.75^2+(4*AM36-3*AK36-AO36)*0.75+AK36</f>
        <v>-5.0442716258579754</v>
      </c>
      <c r="AO36" s="231">
        <f t="shared" si="12"/>
        <v>-4.9462548683848251</v>
      </c>
      <c r="AP36" s="28"/>
      <c r="AQ36" s="28"/>
      <c r="AR36" s="29"/>
      <c r="AS36" s="29"/>
      <c r="AT36" s="36"/>
      <c r="AX36" s="36">
        <f>AK35</f>
        <v>4.7512875356572248</v>
      </c>
      <c r="AY36" s="36">
        <f>AK32</f>
        <v>4.8514589937413639</v>
      </c>
    </row>
    <row r="37" spans="1:54" s="38" customFormat="1" x14ac:dyDescent="0.2"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6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34"/>
      <c r="AN37" s="29"/>
      <c r="AO37" s="231"/>
      <c r="AP37" s="28"/>
      <c r="AQ37" s="28"/>
      <c r="AR37" s="29"/>
      <c r="AS37" s="29"/>
      <c r="AT37" s="36"/>
    </row>
    <row r="38" spans="1:54" s="38" customFormat="1" x14ac:dyDescent="0.2"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29">
        <f>C$26*Sections!$R33+($C$1-Sections!$R33)</f>
        <v>2.5220602308173645</v>
      </c>
      <c r="W38" s="29">
        <f>D$26*Sections!$R33+($C$1-Sections!$R33)</f>
        <v>2.5453542184466045</v>
      </c>
      <c r="X38" s="29">
        <f>E$26*Sections!$R33+($C$1-Sections!$R33)</f>
        <v>2.5919421937050844</v>
      </c>
      <c r="Y38" s="29">
        <f>F$26*Sections!$R33+($C$1-Sections!$R33)</f>
        <v>2.6385301689635643</v>
      </c>
      <c r="Z38" s="29">
        <f>G$26*Sections!$R33+($C$1-Sections!$R33)</f>
        <v>2.6851181442220446</v>
      </c>
      <c r="AA38" s="29">
        <f>H$26*Sections!$R33+($C$1-Sections!$R33)</f>
        <v>2.7550001071097645</v>
      </c>
      <c r="AB38" s="29">
        <f>I$26*Sections!$R33+($C$1-Sections!$R33)</f>
        <v>2.8714700452559643</v>
      </c>
      <c r="AC38" s="29">
        <f>J$26*Sections!$R33+($C$1-Sections!$R33)</f>
        <v>2.9879399834021645</v>
      </c>
      <c r="AD38" s="29">
        <f>K$26*Sections!$R33+($C$1-Sections!$R33)</f>
        <v>3.2208798596945645</v>
      </c>
      <c r="AE38" s="29">
        <f>L$26*Sections!$R33+($C$1-Sections!$R33)</f>
        <v>3.4538197359869645</v>
      </c>
      <c r="AF38" s="29">
        <f>M$26*Sections!$R33+($C$1-Sections!$R33)</f>
        <v>3.6867596122793644</v>
      </c>
      <c r="AG38" s="29">
        <f>N$26*Sections!$R33+($C$1-Sections!$R33)</f>
        <v>3.919699488571764</v>
      </c>
      <c r="AH38" s="29">
        <f>O$26*Sections!$R33+($C$1-Sections!$R33)</f>
        <v>4.1526393648641644</v>
      </c>
      <c r="AI38" s="29">
        <f>P$26*Sections!$R33+($C$1-Sections!$R33)</f>
        <v>4.3855792411565639</v>
      </c>
      <c r="AJ38" s="29">
        <f>Q$26*Sections!$R33+($C$1-Sections!$R33)</f>
        <v>4.6185191174489635</v>
      </c>
      <c r="AK38" s="29">
        <f>R$26*Sections!$R33+($C$1-Sections!$R33)</f>
        <v>4.8514589937413639</v>
      </c>
      <c r="AL38" s="29">
        <f>(AM38+AK38)/2</f>
        <v>5.9773759150470989</v>
      </c>
      <c r="AM38" s="234">
        <f>(AO38+AK38)/2</f>
        <v>7.1032928363528338</v>
      </c>
      <c r="AN38" s="29">
        <f>(AO38+AM38)/2</f>
        <v>8.2292097576585697</v>
      </c>
      <c r="AO38" s="231">
        <f>(_xll.Spline('Profile Calcs'!$G$45:$G$65,'Profile Calcs'!$H$45:$H$65,Sections!A33,TRUE))</f>
        <v>9.3551266789643037</v>
      </c>
      <c r="AP38" s="28"/>
      <c r="AQ38" s="28">
        <f>(AJ41-AK41)/(AJ38-AK38)</f>
        <v>0.12404070627237958</v>
      </c>
      <c r="AR38" s="29">
        <f>-(-4*AM41+3*AK41+AO41)*(AO38-AK38)*Sections!R33/Sections!Q33</f>
        <v>1.8715779369388332</v>
      </c>
      <c r="AS38" s="29">
        <f>-(-4*AM41+3*AK41+AO41)/(AO38-AK38)</f>
        <v>0.20467398007342225</v>
      </c>
      <c r="AT38" s="29">
        <f>DEGREES(ATAN((AM41-AK41)/(AM38-AK38)))</f>
        <v>7.789274007779678</v>
      </c>
      <c r="AU38" s="28">
        <f>((AX42-AX41)/AX42)/(AY42/Sections!$R$33)</f>
        <v>9.2273127733580512E-2</v>
      </c>
      <c r="AV38" s="29">
        <f>AL38/COS(AT38*PI()/180)</f>
        <v>6.0330414029310138</v>
      </c>
      <c r="AW38" s="28">
        <f>AV38*SIN(AT38*PI()/180)</f>
        <v>0.81765869389047341</v>
      </c>
      <c r="AX38" s="29">
        <f>AL41-AW38</f>
        <v>4.5414866138840786</v>
      </c>
      <c r="AY38" s="28">
        <v>0</v>
      </c>
    </row>
    <row r="39" spans="1:54" x14ac:dyDescent="0.2">
      <c r="A39" s="28">
        <v>18</v>
      </c>
      <c r="B39" s="28" t="s">
        <v>104</v>
      </c>
      <c r="C39" s="29">
        <f>W$3+W$4*Sections!$F33+W$5*Sections!$G33+W$6*Sections!$H33</f>
        <v>0</v>
      </c>
      <c r="D39" s="29">
        <f>X$3+X$4*Sections!$F33+X$5*Sections!$G33+X$6*Sections!$H33</f>
        <v>1.3578412560739042E-2</v>
      </c>
      <c r="E39" s="29">
        <f>Y$3+Y$4*Sections!$F33+Y$5*Sections!$G33+Y$6*Sections!$H33</f>
        <v>4.2085479496391083E-2</v>
      </c>
      <c r="F39" s="29">
        <f>Z$3+Z$4*Sections!$F33+Z$5*Sections!$G33+Z$6*Sections!$H33</f>
        <v>7.2201295019354655E-2</v>
      </c>
      <c r="G39" s="29">
        <f>AA$3+AA$4*Sections!$F33+AA$5*Sections!$G33+AA$6*Sections!$H33</f>
        <v>0.1037033862561991</v>
      </c>
      <c r="H39" s="29">
        <f>AB$3+AB$4*Sections!$F33+AB$5*Sections!$G33+AB$6*Sections!$H33</f>
        <v>0.15308998738944507</v>
      </c>
      <c r="I39" s="29">
        <f>AC$3+AC$4*Sections!$F33+AC$5*Sections!$G33+AC$6*Sections!$H33</f>
        <v>0.23942167985272139</v>
      </c>
      <c r="J39" s="29">
        <f>AD$3+AD$4*Sections!$F33+AD$5*Sections!$G33+AD$6*Sections!$H33</f>
        <v>0.32828303427992728</v>
      </c>
      <c r="K39" s="29">
        <f>AE$3+AE$4*Sections!$F33+AE$5*Sections!$G33+AE$6*Sections!$H33</f>
        <v>0.50359667215056525</v>
      </c>
      <c r="L39" s="29">
        <f>AF$3+AF$4*Sections!$F33+AF$5*Sections!$G33+AF$6*Sections!$H33</f>
        <v>0.66234537853316711</v>
      </c>
      <c r="M39" s="29">
        <f>AG$3+AG$4*Sections!$F33+AG$5*Sections!$G33+AG$6*Sections!$H33</f>
        <v>0.7931405770122284</v>
      </c>
      <c r="N39" s="29">
        <f>AH$3+AH$4*Sections!$F33+AH$5*Sections!$G33+AH$6*Sections!$H33</f>
        <v>0.88989063722493389</v>
      </c>
      <c r="O39" s="29">
        <f>AI$3+AI$4*Sections!$F33+AI$5*Sections!$G33+AI$6*Sections!$H33</f>
        <v>0.95180087486115739</v>
      </c>
      <c r="P39" s="29">
        <f>AJ$3+AJ$4*Sections!$F33+AJ$5*Sections!$G33+AJ$6*Sections!$H33</f>
        <v>0.98337355166346185</v>
      </c>
      <c r="Q39" s="29">
        <f>AK$3+AK$4*Sections!$F33+AK$5*Sections!$G33+AK$6*Sections!$H33</f>
        <v>0.99440787542709186</v>
      </c>
      <c r="R39" s="29">
        <v>1</v>
      </c>
      <c r="S39" s="29">
        <f>AM$3+AM$4*Sections!$F33+AM$5*Sections!$G33+AM$6*Sections!$H33</f>
        <v>1.0205430252828009</v>
      </c>
      <c r="T39" s="29">
        <f>AN$3+AN$4*Sections!$F33+AN$5*Sections!$G33+AN$6*Sections!$H33</f>
        <v>1.081726997228823</v>
      </c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34"/>
      <c r="AN39" s="29"/>
      <c r="AO39" s="231"/>
      <c r="AR39" s="29"/>
      <c r="AS39" s="29"/>
      <c r="AT39" s="29"/>
      <c r="AX39" s="29">
        <f>AL41</f>
        <v>5.3591453077745523</v>
      </c>
      <c r="AY39" s="29">
        <f>AL38</f>
        <v>5.9773759150470989</v>
      </c>
    </row>
    <row r="40" spans="1:54" x14ac:dyDescent="0.2">
      <c r="B40" s="28" t="s">
        <v>103</v>
      </c>
      <c r="C40" s="29" t="e">
        <f>Sections!$O33*C$13+Sections!$N33-Sections!$L33/(C$13+Sections!$M33)</f>
        <v>#DIV/0!</v>
      </c>
      <c r="D40" s="29">
        <f>Sections!$O33*D$13+Sections!$N33-Sections!$L33/(D$13+Sections!$M33)</f>
        <v>0.90864960354375524</v>
      </c>
      <c r="E40" s="29">
        <f>Sections!$O33*E$13+Sections!$N33-Sections!$L33/(E$13+Sections!$M33)</f>
        <v>0.9104950660984269</v>
      </c>
      <c r="F40" s="29">
        <f>Sections!$O33*F$13+Sections!$N33-Sections!$L33/(F$13+Sections!$M33)</f>
        <v>0.91234052865309845</v>
      </c>
      <c r="G40" s="29">
        <f>Sections!$O33*G$13+Sections!$N33-Sections!$L33/(G$13+Sections!$M33)</f>
        <v>0.91418599120777011</v>
      </c>
      <c r="H40" s="29">
        <f>Sections!$O33*H$13+Sections!$N33-Sections!$L33/(H$13+Sections!$M33)</f>
        <v>0.91695418503977755</v>
      </c>
      <c r="I40" s="29">
        <f>Sections!$O33*I$13+Sections!$N33-Sections!$L33/(I$13+Sections!$M33)</f>
        <v>0.92156784142645654</v>
      </c>
      <c r="J40" s="29">
        <f>Sections!$O33*J$13+Sections!$N33-Sections!$L33/(J$13+Sections!$M33)</f>
        <v>0.92618149781313552</v>
      </c>
      <c r="K40" s="29">
        <f>Sections!$O33*K$13+Sections!$N33-Sections!$L33/(K$13+Sections!$M33)</f>
        <v>0.93540881058649361</v>
      </c>
      <c r="L40" s="29">
        <f>Sections!$O33*L$13+Sections!$N33-Sections!$L33/(L$13+Sections!$M33)</f>
        <v>0.9446361233598517</v>
      </c>
      <c r="M40" s="29">
        <f>Sections!$O33*M$13+Sections!$N33-Sections!$L33/(M$13+Sections!$M33)</f>
        <v>0.95386343613320967</v>
      </c>
      <c r="N40" s="29">
        <f>Sections!$O33*N$13+Sections!$N33-Sections!$L33/(N$13+Sections!$M33)</f>
        <v>0.96309074890656776</v>
      </c>
      <c r="O40" s="29">
        <f>Sections!$O33*O$13+Sections!$N33-Sections!$L33/(O$13+Sections!$M33)</f>
        <v>0.97231806167992585</v>
      </c>
      <c r="P40" s="29">
        <f>Sections!$O33*P$13+Sections!$N33-Sections!$L33/(P$13+Sections!$M33)</f>
        <v>0.98154537445328383</v>
      </c>
      <c r="Q40" s="29">
        <f>Sections!$O33*Q$13+Sections!$N33-Sections!$L33/(Q$13+Sections!$M33)</f>
        <v>0.99077268722664191</v>
      </c>
      <c r="R40" s="29">
        <v>1</v>
      </c>
      <c r="S40" s="29">
        <f>Sections!$O33*S$13+Sections!$N33-Sections!$L33/(S$13+Sections!$M33)</f>
        <v>1.009227312773358</v>
      </c>
      <c r="T40" s="29">
        <f>Sections!$O33*T$13+Sections!$N33-Sections!$L33/(T$13+Sections!$M33)</f>
        <v>1.0184546255467162</v>
      </c>
      <c r="U40" s="36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34"/>
      <c r="AN40" s="29"/>
      <c r="AO40" s="231"/>
      <c r="AR40" s="29"/>
      <c r="AS40" s="29"/>
      <c r="AT40" s="29"/>
      <c r="AV40" s="38"/>
      <c r="AW40" s="38"/>
      <c r="AX40" s="38"/>
      <c r="AY40" s="38"/>
    </row>
    <row r="41" spans="1:54" x14ac:dyDescent="0.2">
      <c r="C41" s="29">
        <f>IF(Sections!$B33&lt;0.72,C39,C40)</f>
        <v>0</v>
      </c>
      <c r="D41" s="29">
        <f>IF(Sections!$B33&lt;0.72,D39,D40)</f>
        <v>1.3578412560739042E-2</v>
      </c>
      <c r="E41" s="29">
        <f>IF(Sections!$B33&lt;0.72,E39,E40)</f>
        <v>4.2085479496391083E-2</v>
      </c>
      <c r="F41" s="29">
        <f>IF(Sections!$B33&lt;0.72,F39,F40)</f>
        <v>7.2201295019354655E-2</v>
      </c>
      <c r="G41" s="29">
        <f>IF(Sections!$B33&lt;0.72,G39,G40)</f>
        <v>0.1037033862561991</v>
      </c>
      <c r="H41" s="29">
        <f>IF(Sections!$B33&lt;0.72,H39,H40)</f>
        <v>0.15308998738944507</v>
      </c>
      <c r="I41" s="29">
        <f>IF(Sections!$B33&lt;0.72,I39,I40)</f>
        <v>0.23942167985272139</v>
      </c>
      <c r="J41" s="29">
        <f>IF(Sections!$B33&lt;0.72,J39,J40)</f>
        <v>0.32828303427992728</v>
      </c>
      <c r="K41" s="29">
        <f>IF(Sections!$B33&lt;0.72,K39,K40)</f>
        <v>0.50359667215056525</v>
      </c>
      <c r="L41" s="29">
        <f>IF(Sections!$B33&lt;0.72,L39,L40)</f>
        <v>0.66234537853316711</v>
      </c>
      <c r="M41" s="29">
        <f>IF(Sections!$B33&lt;0.72,M39,M40)</f>
        <v>0.7931405770122284</v>
      </c>
      <c r="N41" s="29">
        <f>IF(Sections!$B33&lt;0.72,N39,N40)</f>
        <v>0.88989063722493389</v>
      </c>
      <c r="O41" s="29">
        <f>IF(Sections!$B33&lt;0.72,O39,O40)</f>
        <v>0.95180087486115739</v>
      </c>
      <c r="P41" s="29">
        <f>IF(Sections!$B33&lt;0.72,P39,P40)</f>
        <v>0.98337355166346185</v>
      </c>
      <c r="Q41" s="29">
        <f>IF(Sections!$B33&lt;0.72,Q39,Q40)</f>
        <v>0.99440787542709186</v>
      </c>
      <c r="R41" s="29">
        <v>1</v>
      </c>
      <c r="S41" s="29">
        <f>IF(Sections!$B33&lt;0.72,S39,S40)</f>
        <v>1.0205430252828009</v>
      </c>
      <c r="T41" s="29">
        <f>IF(Sections!$B33&lt;0.72,T39,T40)</f>
        <v>1.081726997228823</v>
      </c>
      <c r="U41" s="29"/>
      <c r="V41" s="29">
        <f>C41*Sections!$Q33</f>
        <v>0</v>
      </c>
      <c r="W41" s="29">
        <f>D41*Sections!$Q33</f>
        <v>7.0158490027806206E-2</v>
      </c>
      <c r="X41" s="29">
        <f>E41*Sections!$Q33</f>
        <v>0.21745205342341509</v>
      </c>
      <c r="Y41" s="29">
        <f>F41*Sections!$Q33</f>
        <v>0.37305788242557142</v>
      </c>
      <c r="Z41" s="29">
        <f>G41*Sections!$Q33</f>
        <v>0.5358264788287801</v>
      </c>
      <c r="AA41" s="29">
        <f>H41*Sections!$Q33</f>
        <v>0.79100279989097455</v>
      </c>
      <c r="AB41" s="29">
        <f>I41*Sections!$Q33</f>
        <v>1.2370712307679004</v>
      </c>
      <c r="AC41" s="29">
        <f>J41*Sections!$Q33</f>
        <v>1.6962102074745526</v>
      </c>
      <c r="AD41" s="29">
        <f>K41*Sections!$Q33</f>
        <v>2.6020406982823925</v>
      </c>
      <c r="AE41" s="29">
        <f>L41*Sections!$Q33</f>
        <v>3.422281612590325</v>
      </c>
      <c r="AF41" s="29">
        <f>M41*Sections!$Q33</f>
        <v>4.0980891554183438</v>
      </c>
      <c r="AG41" s="29">
        <f>N41*Sections!$Q33</f>
        <v>4.5979883965306128</v>
      </c>
      <c r="AH41" s="29">
        <f>O41*Sections!$Q33</f>
        <v>4.9178732704354671</v>
      </c>
      <c r="AI41" s="29">
        <f>P41*Sections!$Q33</f>
        <v>5.0810065763854126</v>
      </c>
      <c r="AJ41" s="29">
        <f>Q41*Sections!$Q33</f>
        <v>5.1380199783770877</v>
      </c>
      <c r="AK41" s="29">
        <f>R41*Sections!$Q33</f>
        <v>5.1669140051513978</v>
      </c>
      <c r="AL41" s="29">
        <f>(2*AO41+2*AK41-4*AM41)*0.25^2+(4*AM41-3*AK41-AO41)*0.25+AK41</f>
        <v>5.3591453077745523</v>
      </c>
      <c r="AM41" s="234">
        <f>_xll.Spline('Mid Upr WL Opt1 Calcs'!$O$24:$O$44,'Cxx Selected'!$I$77:$I$97,Sections!A33,TRUE)</f>
        <v>5.474947420612696</v>
      </c>
      <c r="AN41" s="29">
        <f>(2*AO41+2*AK41-4*AM41)*0.75^2+(4*AM41-3*AK41-AO41)*0.75+AK41</f>
        <v>5.5143203436658315</v>
      </c>
      <c r="AO41" s="231">
        <f>_xll.Spline('CWD Opt1 Calcs'!$J$26:$J$46,'Cxx Selected'!$I$52:$I$72,Sections!A33,TRUE)</f>
        <v>5.4772640769339551</v>
      </c>
      <c r="AR41" s="29"/>
      <c r="AS41" s="29"/>
      <c r="AT41" s="29"/>
      <c r="AV41" s="38"/>
      <c r="AW41" s="38"/>
      <c r="AX41" s="36">
        <f>AK41-AS38*AK38</f>
        <v>4.1739465837393528</v>
      </c>
      <c r="AY41" s="38">
        <v>0</v>
      </c>
      <c r="BA41" s="36">
        <f>AK41-AQ38*AK38</f>
        <v>4.5651356051162306</v>
      </c>
      <c r="BB41" s="38">
        <v>0</v>
      </c>
    </row>
    <row r="42" spans="1:54" x14ac:dyDescent="0.2"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>
        <f t="shared" ref="V42:AO42" si="13">-V41</f>
        <v>0</v>
      </c>
      <c r="W42" s="29">
        <f t="shared" si="13"/>
        <v>-7.0158490027806206E-2</v>
      </c>
      <c r="X42" s="29">
        <f t="shared" si="13"/>
        <v>-0.21745205342341509</v>
      </c>
      <c r="Y42" s="29">
        <f t="shared" si="13"/>
        <v>-0.37305788242557142</v>
      </c>
      <c r="Z42" s="29">
        <f t="shared" si="13"/>
        <v>-0.5358264788287801</v>
      </c>
      <c r="AA42" s="29">
        <f t="shared" si="13"/>
        <v>-0.79100279989097455</v>
      </c>
      <c r="AB42" s="29">
        <f t="shared" si="13"/>
        <v>-1.2370712307679004</v>
      </c>
      <c r="AC42" s="29">
        <f t="shared" si="13"/>
        <v>-1.6962102074745526</v>
      </c>
      <c r="AD42" s="29">
        <f t="shared" si="13"/>
        <v>-2.6020406982823925</v>
      </c>
      <c r="AE42" s="29">
        <f t="shared" si="13"/>
        <v>-3.422281612590325</v>
      </c>
      <c r="AF42" s="29">
        <f t="shared" si="13"/>
        <v>-4.0980891554183438</v>
      </c>
      <c r="AG42" s="29">
        <f t="shared" si="13"/>
        <v>-4.5979883965306128</v>
      </c>
      <c r="AH42" s="29">
        <f t="shared" si="13"/>
        <v>-4.9178732704354671</v>
      </c>
      <c r="AI42" s="29">
        <f t="shared" si="13"/>
        <v>-5.0810065763854126</v>
      </c>
      <c r="AJ42" s="29">
        <f t="shared" si="13"/>
        <v>-5.1380199783770877</v>
      </c>
      <c r="AK42" s="29">
        <f t="shared" si="13"/>
        <v>-5.1669140051513978</v>
      </c>
      <c r="AL42" s="29">
        <f>(2*AO42+2*AK42-4*AM42)*0.25^2+(4*AM42-3*AK42-AO42)*0.25+AK42</f>
        <v>-5.3591453077745523</v>
      </c>
      <c r="AM42" s="234">
        <f t="shared" si="13"/>
        <v>-5.474947420612696</v>
      </c>
      <c r="AN42" s="29">
        <f>(2*AO42+2*AK42-4*AM42)*0.75^2+(4*AM42-3*AK42-AO42)*0.75+AK42</f>
        <v>-5.5143203436658315</v>
      </c>
      <c r="AO42" s="231">
        <f t="shared" si="13"/>
        <v>-5.4772640769339551</v>
      </c>
      <c r="AR42" s="29"/>
      <c r="AS42" s="29"/>
      <c r="AT42" s="29"/>
      <c r="AV42" s="38"/>
      <c r="AW42" s="38"/>
      <c r="AX42" s="36">
        <f>AK41</f>
        <v>5.1669140051513978</v>
      </c>
      <c r="AY42" s="36">
        <f>AK38</f>
        <v>4.8514589937413639</v>
      </c>
      <c r="BA42" s="36">
        <f>AK41</f>
        <v>5.1669140051513978</v>
      </c>
      <c r="BB42" s="36">
        <f>AK38</f>
        <v>4.8514589937413639</v>
      </c>
    </row>
    <row r="43" spans="1:54" x14ac:dyDescent="0.2"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34"/>
      <c r="AN43" s="29"/>
      <c r="AO43" s="231"/>
      <c r="AR43" s="29"/>
      <c r="AS43" s="29"/>
      <c r="AT43" s="29"/>
    </row>
    <row r="44" spans="1:54" x14ac:dyDescent="0.2"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>
        <f>C$26*Sections!$R34+($C$1-Sections!$R34)</f>
        <v>1.822392570788296</v>
      </c>
      <c r="W44" s="29">
        <f>D$26*Sections!$R34+($C$1-Sections!$R34)</f>
        <v>1.8526832350178266</v>
      </c>
      <c r="X44" s="29">
        <f>E$26*Sections!$R34+($C$1-Sections!$R34)</f>
        <v>1.9132645634768881</v>
      </c>
      <c r="Y44" s="29">
        <f>F$26*Sections!$R34+($C$1-Sections!$R34)</f>
        <v>1.9738458919359494</v>
      </c>
      <c r="Z44" s="29">
        <f>G$26*Sections!$R34+($C$1-Sections!$R34)</f>
        <v>2.0344272203950107</v>
      </c>
      <c r="AA44" s="29">
        <f>H$26*Sections!$R34+($C$1-Sections!$R34)</f>
        <v>2.1252992130836028</v>
      </c>
      <c r="AB44" s="29">
        <f>I$26*Sections!$R34+($C$1-Sections!$R34)</f>
        <v>2.2767525342312562</v>
      </c>
      <c r="AC44" s="29">
        <f>J$26*Sections!$R34+($C$1-Sections!$R34)</f>
        <v>2.4282058553789096</v>
      </c>
      <c r="AD44" s="29">
        <f>K$26*Sections!$R34+($C$1-Sections!$R34)</f>
        <v>2.731112497674216</v>
      </c>
      <c r="AE44" s="29">
        <f>L$26*Sections!$R34+($C$1-Sections!$R34)</f>
        <v>3.0340191399695233</v>
      </c>
      <c r="AF44" s="29">
        <f>M$26*Sections!$R34+($C$1-Sections!$R34)</f>
        <v>3.3369257822648297</v>
      </c>
      <c r="AG44" s="29">
        <f>N$26*Sections!$R34+($C$1-Sections!$R34)</f>
        <v>3.6398324245601366</v>
      </c>
      <c r="AH44" s="29">
        <f>O$26*Sections!$R34+($C$1-Sections!$R34)</f>
        <v>3.9427390668554434</v>
      </c>
      <c r="AI44" s="29">
        <f>P$26*Sections!$R34+($C$1-Sections!$R34)</f>
        <v>4.2456457091507502</v>
      </c>
      <c r="AJ44" s="29">
        <f>Q$26*Sections!$R34+($C$1-Sections!$R34)</f>
        <v>4.5485523514460571</v>
      </c>
      <c r="AK44" s="29">
        <f>R$26*Sections!$R34+($C$1-Sections!$R34)</f>
        <v>4.8514589937413639</v>
      </c>
      <c r="AL44" s="29">
        <f>(AM44+AK44)/2</f>
        <v>5.9650665258665985</v>
      </c>
      <c r="AM44" s="234">
        <f>(AO44+AK44)/2</f>
        <v>7.078674057991833</v>
      </c>
      <c r="AN44" s="29">
        <f>(AO44+AM44)/2</f>
        <v>8.1922815901170676</v>
      </c>
      <c r="AO44" s="231">
        <f>(_xll.Spline('Profile Calcs'!$G$45:$G$65,'Profile Calcs'!$H$45:$H$65,Sections!A34,TRUE))</f>
        <v>9.3058891222423021</v>
      </c>
      <c r="AR44" s="29">
        <f>-(-4*AM47+3*AK47+AO47)*(AO44-AK44)*Sections!R34/Sections!Q34</f>
        <v>1.3868814951590409</v>
      </c>
      <c r="AS44" s="29">
        <f>-(-4*AM47+3*AK47+AO47)/(AO44-AK44)</f>
        <v>0.1285725730062556</v>
      </c>
      <c r="AT44" s="29">
        <f>DEGREES(ATAN((AM47-AK47)/(AM44-AK44)))</f>
        <v>6.1022345023130962</v>
      </c>
      <c r="AU44" s="28">
        <f>((AX48-AX47)/AX48)/(AY48/Sections!$R$34)</f>
        <v>6.9896439162949589E-2</v>
      </c>
      <c r="AV44" s="29">
        <f>AL44/COS(AT44*PI()/180)</f>
        <v>5.9990583957098469</v>
      </c>
      <c r="AW44" s="28">
        <f>AV44*SIN(AT44*PI()/180)</f>
        <v>0.63771700394657471</v>
      </c>
      <c r="AX44" s="29">
        <f>AL47-AW44</f>
        <v>5.0652839914765346</v>
      </c>
      <c r="AY44" s="28">
        <v>0</v>
      </c>
    </row>
    <row r="45" spans="1:54" x14ac:dyDescent="0.2">
      <c r="A45" s="28">
        <v>17</v>
      </c>
      <c r="B45" s="28" t="s">
        <v>104</v>
      </c>
      <c r="C45" s="29">
        <f>W$3+W$4*Sections!$F34+W$5*Sections!$G34+W$6*Sections!$H34</f>
        <v>0</v>
      </c>
      <c r="D45" s="29">
        <f>X$3+X$4*Sections!$F34+X$5*Sections!$G34+X$6*Sections!$H34</f>
        <v>1.5800796086922381E-2</v>
      </c>
      <c r="E45" s="29">
        <f>Y$3+Y$4*Sections!$F34+Y$5*Sections!$G34+Y$6*Sections!$H34</f>
        <v>4.8320779102775234E-2</v>
      </c>
      <c r="F45" s="29">
        <f>Z$3+Z$4*Sections!$F34+Z$5*Sections!$G34+Z$6*Sections!$H34</f>
        <v>8.1906137639592064E-2</v>
      </c>
      <c r="G45" s="29">
        <f>AA$3+AA$4*Sections!$F34+AA$5*Sections!$G34+AA$6*Sections!$H34</f>
        <v>0.11637225122369091</v>
      </c>
      <c r="H45" s="29">
        <f>AB$3+AB$4*Sections!$F34+AB$5*Sections!$G34+AB$6*Sections!$H34</f>
        <v>0.16933685135086596</v>
      </c>
      <c r="I45" s="29">
        <f>AC$3+AC$4*Sections!$F34+AC$5*Sections!$G34+AC$6*Sections!$H34</f>
        <v>0.25960601649423354</v>
      </c>
      <c r="J45" s="29">
        <f>AD$3+AD$4*Sections!$F34+AD$5*Sections!$G34+AD$6*Sections!$H34</f>
        <v>0.35031118023252605</v>
      </c>
      <c r="K45" s="29">
        <f>AE$3+AE$4*Sections!$F34+AE$5*Sections!$G34+AE$6*Sections!$H34</f>
        <v>0.52483805115730175</v>
      </c>
      <c r="L45" s="29">
        <f>AF$3+AF$4*Sections!$F34+AF$5*Sections!$G34+AF$6*Sections!$H34</f>
        <v>0.67937127747621517</v>
      </c>
      <c r="M45" s="29">
        <f>AG$3+AG$4*Sections!$F34+AG$5*Sections!$G34+AG$6*Sections!$H34</f>
        <v>0.80490342137898763</v>
      </c>
      <c r="N45" s="29">
        <f>AH$3+AH$4*Sections!$F34+AH$5*Sections!$G34+AH$6*Sections!$H34</f>
        <v>0.89696579389404085</v>
      </c>
      <c r="O45" s="29">
        <f>AI$3+AI$4*Sections!$F34+AI$5*Sections!$G34+AI$6*Sections!$H34</f>
        <v>0.9556284548884969</v>
      </c>
      <c r="P45" s="29">
        <f>AJ$3+AJ$4*Sections!$F34+AJ$5*Sections!$G34+AJ$6*Sections!$H34</f>
        <v>0.98550021306817837</v>
      </c>
      <c r="Q45" s="29">
        <f>AK$3+AK$4*Sections!$F34+AK$5*Sections!$G34+AK$6*Sections!$H34</f>
        <v>0.99572862597760081</v>
      </c>
      <c r="R45" s="29">
        <v>1</v>
      </c>
      <c r="S45" s="29">
        <f>AM$3+AM$4*Sections!$F34+AM$5*Sections!$G34+AM$6*Sections!$H34</f>
        <v>1.0165393903572841</v>
      </c>
      <c r="T45" s="29">
        <f>AN$3+AN$4*Sections!$F34+AN$5*Sections!$G34+AN$6*Sections!$H34</f>
        <v>1.0681106011100867</v>
      </c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34"/>
      <c r="AN45" s="29"/>
      <c r="AO45" s="231"/>
      <c r="AR45" s="29"/>
      <c r="AS45" s="29"/>
      <c r="AT45" s="29"/>
      <c r="AX45" s="29">
        <f>AL47</f>
        <v>5.7030009954231096</v>
      </c>
      <c r="AY45" s="29">
        <f>AL44</f>
        <v>5.9650665258665985</v>
      </c>
    </row>
    <row r="46" spans="1:54" x14ac:dyDescent="0.2">
      <c r="B46" s="28" t="s">
        <v>103</v>
      </c>
      <c r="C46" s="29" t="e">
        <f>Sections!$O34*C$13+Sections!$N34-Sections!$L34/(C$13+Sections!$M34)</f>
        <v>#DIV/0!</v>
      </c>
      <c r="D46" s="29">
        <f>Sections!$O34*D$13+Sections!$N34-Sections!$L34/(D$13+Sections!$M34)</f>
        <v>0.9308025252286799</v>
      </c>
      <c r="E46" s="29">
        <f>Sections!$O34*E$13+Sections!$N34-Sections!$L34/(E$13+Sections!$M34)</f>
        <v>0.93220045401193885</v>
      </c>
      <c r="F46" s="29">
        <f>Sections!$O34*F$13+Sections!$N34-Sections!$L34/(F$13+Sections!$M34)</f>
        <v>0.9335983827951978</v>
      </c>
      <c r="G46" s="29">
        <f>Sections!$O34*G$13+Sections!$N34-Sections!$L34/(G$13+Sections!$M34)</f>
        <v>0.93499631157845686</v>
      </c>
      <c r="H46" s="29">
        <f>Sections!$O34*H$13+Sections!$N34-Sections!$L34/(H$13+Sections!$M34)</f>
        <v>0.93709320475334534</v>
      </c>
      <c r="I46" s="29">
        <f>Sections!$O34*I$13+Sections!$N34-Sections!$L34/(I$13+Sections!$M34)</f>
        <v>0.94058802671149278</v>
      </c>
      <c r="J46" s="29">
        <f>Sections!$O34*J$13+Sections!$N34-Sections!$L34/(J$13+Sections!$M34)</f>
        <v>0.94408284866964032</v>
      </c>
      <c r="K46" s="29">
        <f>Sections!$O34*K$13+Sections!$N34-Sections!$L34/(K$13+Sections!$M34)</f>
        <v>0.95107249258593529</v>
      </c>
      <c r="L46" s="29">
        <f>Sections!$O34*L$13+Sections!$N34-Sections!$L34/(L$13+Sections!$M34)</f>
        <v>0.95806213650223015</v>
      </c>
      <c r="M46" s="29">
        <f>Sections!$O34*M$13+Sections!$N34-Sections!$L34/(M$13+Sections!$M34)</f>
        <v>0.96505178041852513</v>
      </c>
      <c r="N46" s="29">
        <f>Sections!$O34*N$13+Sections!$N34-Sections!$L34/(N$13+Sections!$M34)</f>
        <v>0.9720414243348201</v>
      </c>
      <c r="O46" s="29">
        <f>Sections!$O34*O$13+Sections!$N34-Sections!$L34/(O$13+Sections!$M34)</f>
        <v>0.97903106825111508</v>
      </c>
      <c r="P46" s="29">
        <f>Sections!$O34*P$13+Sections!$N34-Sections!$L34/(P$13+Sections!$M34)</f>
        <v>0.98602071216741005</v>
      </c>
      <c r="Q46" s="29">
        <f>Sections!$O34*Q$13+Sections!$N34-Sections!$L34/(Q$13+Sections!$M34)</f>
        <v>0.99301035608370503</v>
      </c>
      <c r="R46" s="29">
        <v>1</v>
      </c>
      <c r="S46" s="29">
        <f>Sections!$O34*S$13+Sections!$N34-Sections!$L34/(S$13+Sections!$M34)</f>
        <v>1.0069896439162949</v>
      </c>
      <c r="T46" s="29">
        <f>Sections!$O34*T$13+Sections!$N34-Sections!$L34/(T$13+Sections!$M34)</f>
        <v>1.0139792878325899</v>
      </c>
      <c r="U46" s="36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34"/>
      <c r="AN46" s="29"/>
      <c r="AO46" s="231"/>
      <c r="AR46" s="29"/>
      <c r="AS46" s="29"/>
      <c r="AT46" s="29"/>
      <c r="AV46" s="38"/>
      <c r="AW46" s="38"/>
      <c r="AX46" s="38"/>
      <c r="AY46" s="38"/>
    </row>
    <row r="47" spans="1:54" x14ac:dyDescent="0.2">
      <c r="C47" s="29">
        <f>IF(Sections!$B34&lt;0.72,C45,C46)</f>
        <v>0</v>
      </c>
      <c r="D47" s="29">
        <f>IF(Sections!$B34&lt;0.72,D45,D46)</f>
        <v>1.5800796086922381E-2</v>
      </c>
      <c r="E47" s="29">
        <f>IF(Sections!$B34&lt;0.72,E45,E46)</f>
        <v>4.8320779102775234E-2</v>
      </c>
      <c r="F47" s="29">
        <f>IF(Sections!$B34&lt;0.72,F45,F46)</f>
        <v>8.1906137639592064E-2</v>
      </c>
      <c r="G47" s="29">
        <f>IF(Sections!$B34&lt;0.72,G45,G46)</f>
        <v>0.11637225122369091</v>
      </c>
      <c r="H47" s="29">
        <f>IF(Sections!$B34&lt;0.72,H45,H46)</f>
        <v>0.16933685135086596</v>
      </c>
      <c r="I47" s="29">
        <f>IF(Sections!$B34&lt;0.72,I45,I46)</f>
        <v>0.25960601649423354</v>
      </c>
      <c r="J47" s="29">
        <f>IF(Sections!$B34&lt;0.72,J45,J46)</f>
        <v>0.35031118023252605</v>
      </c>
      <c r="K47" s="29">
        <f>IF(Sections!$B34&lt;0.72,K45,K46)</f>
        <v>0.52483805115730175</v>
      </c>
      <c r="L47" s="29">
        <f>IF(Sections!$B34&lt;0.72,L45,L46)</f>
        <v>0.67937127747621517</v>
      </c>
      <c r="M47" s="29">
        <f>IF(Sections!$B34&lt;0.72,M45,M46)</f>
        <v>0.80490342137898763</v>
      </c>
      <c r="N47" s="29">
        <f>IF(Sections!$B34&lt;0.72,N45,N46)</f>
        <v>0.89696579389404085</v>
      </c>
      <c r="O47" s="29">
        <f>IF(Sections!$B34&lt;0.72,O45,O46)</f>
        <v>0.9556284548884969</v>
      </c>
      <c r="P47" s="29">
        <f>IF(Sections!$B34&lt;0.72,P45,P46)</f>
        <v>0.98550021306817837</v>
      </c>
      <c r="Q47" s="29">
        <f>IF(Sections!$B34&lt;0.72,Q45,Q46)</f>
        <v>0.99572862597760081</v>
      </c>
      <c r="R47" s="29">
        <v>1</v>
      </c>
      <c r="S47" s="29">
        <f>IF(Sections!$B34&lt;0.72,S45,S46)</f>
        <v>1.0165393903572841</v>
      </c>
      <c r="T47" s="29">
        <f>IF(Sections!$B34&lt;0.72,T45,T46)</f>
        <v>1.0681106011100867</v>
      </c>
      <c r="U47" s="29"/>
      <c r="V47" s="29">
        <f>C47*Sections!$Q34</f>
        <v>0</v>
      </c>
      <c r="W47" s="29">
        <f>D47*Sections!$Q34</f>
        <v>8.804020579233697E-2</v>
      </c>
      <c r="X47" s="29">
        <f>E47*Sections!$Q34</f>
        <v>0.26923778478322219</v>
      </c>
      <c r="Y47" s="29">
        <f>F47*Sections!$Q34</f>
        <v>0.45637151278810661</v>
      </c>
      <c r="Z47" s="29">
        <f>G47*Sections!$Q34</f>
        <v>0.64841270590986111</v>
      </c>
      <c r="AA47" s="29">
        <f>H47*Sections!$Q34</f>
        <v>0.94352532360668073</v>
      </c>
      <c r="AB47" s="29">
        <f>I47*Sections!$Q34</f>
        <v>1.4464946570633774</v>
      </c>
      <c r="AC47" s="29">
        <f>J47*Sections!$Q34</f>
        <v>1.9518933241948586</v>
      </c>
      <c r="AD47" s="29">
        <f>K47*Sections!$Q34</f>
        <v>2.9243368357738184</v>
      </c>
      <c r="AE47" s="29">
        <f>L47*Sections!$Q34</f>
        <v>3.7853780752168924</v>
      </c>
      <c r="AF47" s="29">
        <f>M47*Sections!$Q34</f>
        <v>4.4848286422614541</v>
      </c>
      <c r="AG47" s="29">
        <f>N47*Sections!$Q34</f>
        <v>4.9977895195089221</v>
      </c>
      <c r="AH47" s="29">
        <f>O47*Sections!$Q34</f>
        <v>5.3246510724247642</v>
      </c>
      <c r="AI47" s="29">
        <f>P47*Sections!$Q34</f>
        <v>5.4910930493384935</v>
      </c>
      <c r="AJ47" s="29">
        <f>Q47*Sections!$Q34</f>
        <v>5.5480845814436295</v>
      </c>
      <c r="AK47" s="29">
        <f>R47*Sections!$Q34</f>
        <v>5.5718841827978496</v>
      </c>
      <c r="AL47" s="29">
        <f>(2*AO47+2*AK47-4*AM47)*0.25^2+(4*AM47-3*AK47-AO47)*0.25+AK47</f>
        <v>5.7030009954231096</v>
      </c>
      <c r="AM47" s="234">
        <f>_xll.Spline('Mid Upr WL Opt1 Calcs'!$O$24:$O$44,'Cxx Selected'!$I$77:$I$97,Sections!A34,TRUE)</f>
        <v>5.8099926618499156</v>
      </c>
      <c r="AN47" s="29">
        <f>(2*AO47+2*AK47-4*AM47)*0.75^2+(4*AM47-3*AK47-AO47)*0.75+AK47</f>
        <v>5.8928591820782641</v>
      </c>
      <c r="AO47" s="231">
        <f>_xll.Spline('CWD Opt1 Calcs'!$J$26:$J$46,'Cxx Selected'!$I$52:$I$72,Sections!A34,TRUE)</f>
        <v>5.9516005561081613</v>
      </c>
      <c r="AR47" s="29"/>
      <c r="AS47" s="29"/>
      <c r="AT47" s="29"/>
      <c r="AV47" s="38"/>
      <c r="AW47" s="38"/>
      <c r="AX47" s="36">
        <f>AK47-AS44*AK44</f>
        <v>4.9481196171381825</v>
      </c>
      <c r="AY47" s="38">
        <v>0</v>
      </c>
    </row>
    <row r="48" spans="1:54" x14ac:dyDescent="0.2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>
        <f t="shared" ref="V48:AO48" si="14">-V47</f>
        <v>0</v>
      </c>
      <c r="W48" s="29">
        <f t="shared" si="14"/>
        <v>-8.804020579233697E-2</v>
      </c>
      <c r="X48" s="29">
        <f t="shared" si="14"/>
        <v>-0.26923778478322219</v>
      </c>
      <c r="Y48" s="29">
        <f t="shared" si="14"/>
        <v>-0.45637151278810661</v>
      </c>
      <c r="Z48" s="29">
        <f t="shared" si="14"/>
        <v>-0.64841270590986111</v>
      </c>
      <c r="AA48" s="29">
        <f t="shared" si="14"/>
        <v>-0.94352532360668073</v>
      </c>
      <c r="AB48" s="29">
        <f t="shared" si="14"/>
        <v>-1.4464946570633774</v>
      </c>
      <c r="AC48" s="29">
        <f t="shared" si="14"/>
        <v>-1.9518933241948586</v>
      </c>
      <c r="AD48" s="29">
        <f t="shared" si="14"/>
        <v>-2.9243368357738184</v>
      </c>
      <c r="AE48" s="29">
        <f t="shared" si="14"/>
        <v>-3.7853780752168924</v>
      </c>
      <c r="AF48" s="29">
        <f t="shared" si="14"/>
        <v>-4.4848286422614541</v>
      </c>
      <c r="AG48" s="29">
        <f t="shared" si="14"/>
        <v>-4.9977895195089221</v>
      </c>
      <c r="AH48" s="29">
        <f t="shared" si="14"/>
        <v>-5.3246510724247642</v>
      </c>
      <c r="AI48" s="29">
        <f t="shared" si="14"/>
        <v>-5.4910930493384935</v>
      </c>
      <c r="AJ48" s="29">
        <f t="shared" si="14"/>
        <v>-5.5480845814436295</v>
      </c>
      <c r="AK48" s="29">
        <f t="shared" si="14"/>
        <v>-5.5718841827978496</v>
      </c>
      <c r="AL48" s="29">
        <f>(2*AO48+2*AK48-4*AM48)*0.25^2+(4*AM48-3*AK48-AO48)*0.25+AK48</f>
        <v>-5.7030009954231096</v>
      </c>
      <c r="AM48" s="234">
        <f t="shared" si="14"/>
        <v>-5.8099926618499156</v>
      </c>
      <c r="AN48" s="29">
        <f>(2*AO48+2*AK48-4*AM48)*0.75^2+(4*AM48-3*AK48-AO48)*0.75+AK48</f>
        <v>-5.8928591820782641</v>
      </c>
      <c r="AO48" s="231">
        <f t="shared" si="14"/>
        <v>-5.9516005561081613</v>
      </c>
      <c r="AR48" s="29"/>
      <c r="AS48" s="29"/>
      <c r="AT48" s="29"/>
      <c r="AV48" s="38"/>
      <c r="AW48" s="38"/>
      <c r="AX48" s="36">
        <f>AK47</f>
        <v>5.5718841827978496</v>
      </c>
      <c r="AY48" s="36">
        <f>AK44</f>
        <v>4.8514589937413639</v>
      </c>
    </row>
    <row r="49" spans="1:51" x14ac:dyDescent="0.2"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34"/>
      <c r="AN49" s="29"/>
      <c r="AO49" s="231"/>
      <c r="AR49" s="29"/>
      <c r="AS49" s="29"/>
      <c r="AT49" s="29"/>
    </row>
    <row r="50" spans="1:51" x14ac:dyDescent="0.2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>
        <f>C$26*Sections!$R35+($C$1-Sections!$R35)</f>
        <v>1.1870490124574347</v>
      </c>
      <c r="W50" s="29">
        <f>D$26*Sections!$R35+($C$1-Sections!$R35)</f>
        <v>1.2236931122702739</v>
      </c>
      <c r="X50" s="29">
        <f>E$26*Sections!$R35+($C$1-Sections!$R35)</f>
        <v>1.2969813118959526</v>
      </c>
      <c r="Y50" s="29">
        <f>F$26*Sections!$R35+($C$1-Sections!$R35)</f>
        <v>1.3702695115216312</v>
      </c>
      <c r="Z50" s="29">
        <f>G$26*Sections!$R35+($C$1-Sections!$R35)</f>
        <v>1.4435577111473097</v>
      </c>
      <c r="AA50" s="29">
        <f>H$26*Sections!$R35+($C$1-Sections!$R35)</f>
        <v>1.5534900105858276</v>
      </c>
      <c r="AB50" s="29">
        <f>I$26*Sections!$R35+($C$1-Sections!$R35)</f>
        <v>1.7367105096500239</v>
      </c>
      <c r="AC50" s="29">
        <f>J$26*Sections!$R35+($C$1-Sections!$R35)</f>
        <v>1.9199310087142205</v>
      </c>
      <c r="AD50" s="29">
        <f>K$26*Sections!$R35+($C$1-Sections!$R35)</f>
        <v>2.2863720068426137</v>
      </c>
      <c r="AE50" s="29">
        <f>L$26*Sections!$R35+($C$1-Sections!$R35)</f>
        <v>2.6528130049710064</v>
      </c>
      <c r="AF50" s="29">
        <f>M$26*Sections!$R35+($C$1-Sections!$R35)</f>
        <v>3.0192540030993991</v>
      </c>
      <c r="AG50" s="29">
        <f>N$26*Sections!$R35+($C$1-Sections!$R35)</f>
        <v>3.3856950012277922</v>
      </c>
      <c r="AH50" s="29">
        <f>O$26*Sections!$R35+($C$1-Sections!$R35)</f>
        <v>3.7521359993561849</v>
      </c>
      <c r="AI50" s="29">
        <f>P$26*Sections!$R35+($C$1-Sections!$R35)</f>
        <v>4.1185769974845776</v>
      </c>
      <c r="AJ50" s="29">
        <f>Q$26*Sections!$R35+($C$1-Sections!$R35)</f>
        <v>4.4850179956129708</v>
      </c>
      <c r="AK50" s="29">
        <f>R$26*Sections!$R35+($C$1-Sections!$R35)</f>
        <v>4.8514589937413639</v>
      </c>
      <c r="AL50" s="29">
        <f>(AM50+AK50)/2</f>
        <v>5.9527575044260921</v>
      </c>
      <c r="AM50" s="234">
        <f>(AO50+AK50)/2</f>
        <v>7.0540560151108211</v>
      </c>
      <c r="AN50" s="29">
        <f>(AO50+AM50)/2</f>
        <v>8.1553545257955502</v>
      </c>
      <c r="AO50" s="231">
        <f>(_xll.Spline('Profile Calcs'!$G$45:$G$65,'Profile Calcs'!$H$45:$H$65,Sections!A35,TRUE))</f>
        <v>9.2566530364802784</v>
      </c>
      <c r="AR50" s="29">
        <f>-(-4*AM53+3*AK53+AO53)*(AO50-AK50)*Sections!R35/Sections!Q35</f>
        <v>0.3196549166449838</v>
      </c>
      <c r="AS50" s="29">
        <f>-(-4*AM53+3*AK53+AO53)/(AO50-AK50)</f>
        <v>2.6797281987435122E-2</v>
      </c>
      <c r="AT50" s="29">
        <f>DEGREES(ATAN((AM53-AK53)/(AM50-AK50)))</f>
        <v>3.2969206578674237</v>
      </c>
      <c r="AU50" s="28">
        <f>((AX54-AX53)/AX54)/(AY54/Sections!$R$35)</f>
        <v>1.6472188452979278E-2</v>
      </c>
      <c r="AV50" s="29">
        <f>AL50/COS(AT50*PI()/180)</f>
        <v>5.9626261937861536</v>
      </c>
      <c r="AW50" s="28">
        <f>AV50*SIN(AT50*PI()/180)</f>
        <v>0.34291284654209436</v>
      </c>
      <c r="AX50" s="29">
        <f>AL53-AW50</f>
        <v>5.6648982382244339</v>
      </c>
      <c r="AY50" s="28">
        <v>0</v>
      </c>
    </row>
    <row r="51" spans="1:51" x14ac:dyDescent="0.2">
      <c r="A51" s="28">
        <v>16</v>
      </c>
      <c r="B51" s="28" t="s">
        <v>104</v>
      </c>
      <c r="C51" s="29">
        <f>W$3+W$4*Sections!$F35+W$5*Sections!$G35+W$6*Sections!$H35</f>
        <v>0</v>
      </c>
      <c r="D51" s="29">
        <f>X$3+X$4*Sections!$F35+X$5*Sections!$G35+X$6*Sections!$H35</f>
        <v>1.7124839362596782E-2</v>
      </c>
      <c r="E51" s="29">
        <f>Y$3+Y$4*Sections!$F35+Y$5*Sections!$G35+Y$6*Sections!$H35</f>
        <v>5.2004121516392471E-2</v>
      </c>
      <c r="F51" s="29">
        <f>Z$3+Z$4*Sections!$F35+Z$5*Sections!$G35+Z$6*Sections!$H35</f>
        <v>8.7588921161206812E-2</v>
      </c>
      <c r="G51" s="29">
        <f>AA$3+AA$4*Sections!$F35+AA$5*Sections!$G35+AA$6*Sections!$H35</f>
        <v>0.12372388788060315</v>
      </c>
      <c r="H51" s="29">
        <f>AB$3+AB$4*Sections!$F35+AB$5*Sections!$G35+AB$6*Sections!$H35</f>
        <v>0.17863324303887704</v>
      </c>
      <c r="I51" s="29">
        <f>AC$3+AC$4*Sections!$F35+AC$5*Sections!$G35+AC$6*Sections!$H35</f>
        <v>0.27087418037944766</v>
      </c>
      <c r="J51" s="29">
        <f>AD$3+AD$4*Sections!$F35+AD$5*Sections!$G35+AD$6*Sections!$H35</f>
        <v>0.36229375507687117</v>
      </c>
      <c r="K51" s="29">
        <f>AE$3+AE$4*Sections!$F35+AE$5*Sections!$G35+AE$6*Sections!$H35</f>
        <v>0.53580093985565813</v>
      </c>
      <c r="L51" s="29">
        <f>AF$3+AF$4*Sections!$F35+AF$5*Sections!$G35+AF$6*Sections!$H35</f>
        <v>0.68782711547715136</v>
      </c>
      <c r="M51" s="29">
        <f>AG$3+AG$4*Sections!$F35+AG$5*Sections!$G35+AG$6*Sections!$H35</f>
        <v>0.810897514403501</v>
      </c>
      <c r="N51" s="29">
        <f>AH$3+AH$4*Sections!$F35+AH$5*Sections!$G35+AH$6*Sections!$H35</f>
        <v>0.90139028345709538</v>
      </c>
      <c r="O51" s="29">
        <f>AI$3+AI$4*Sections!$F35+AI$5*Sections!$G35+AI$6*Sections!$H35</f>
        <v>0.95953648382056078</v>
      </c>
      <c r="P51" s="29">
        <f>AJ$3+AJ$4*Sections!$F35+AJ$5*Sections!$G35+AJ$6*Sections!$H35</f>
        <v>0.98942009103676087</v>
      </c>
      <c r="Q51" s="29">
        <f>AK$3+AK$4*Sections!$F35+AK$5*Sections!$G35+AK$6*Sections!$H35</f>
        <v>0.99897799500878981</v>
      </c>
      <c r="R51" s="29">
        <v>1</v>
      </c>
      <c r="S51" s="29">
        <f>AM$3+AM$4*Sections!$F35+AM$5*Sections!$G35+AM$6*Sections!$H35</f>
        <v>1.0081288246339533</v>
      </c>
      <c r="T51" s="29">
        <f>AN$3+AN$4*Sections!$F35+AN$5*Sections!$G35+AN$6*Sections!$H35</f>
        <v>1.0428601018944743</v>
      </c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34"/>
      <c r="AN51" s="29"/>
      <c r="AO51" s="231"/>
      <c r="AR51" s="29"/>
      <c r="AS51" s="29"/>
      <c r="AT51" s="29"/>
      <c r="AX51" s="29">
        <f>AL53</f>
        <v>6.0078110847665283</v>
      </c>
      <c r="AY51" s="29">
        <f>AL50</f>
        <v>5.9527575044260921</v>
      </c>
    </row>
    <row r="52" spans="1:51" x14ac:dyDescent="0.2">
      <c r="B52" s="28" t="s">
        <v>103</v>
      </c>
      <c r="C52" s="29" t="e">
        <f>Sections!$O35*C$13+Sections!$N35-Sections!$L35/(C$13+Sections!$M35)</f>
        <v>#DIV/0!</v>
      </c>
      <c r="D52" s="29">
        <f>Sections!$O35*D$13+Sections!$N35-Sections!$L35/(D$13+Sections!$M35)</f>
        <v>0.9836925334315505</v>
      </c>
      <c r="E52" s="29">
        <f>Sections!$O35*E$13+Sections!$N35-Sections!$L35/(E$13+Sections!$M35)</f>
        <v>0.98402197720061013</v>
      </c>
      <c r="F52" s="29">
        <f>Sections!$O35*F$13+Sections!$N35-Sections!$L35/(F$13+Sections!$M35)</f>
        <v>0.98435142096966965</v>
      </c>
      <c r="G52" s="29">
        <f>Sections!$O35*G$13+Sections!$N35-Sections!$L35/(G$13+Sections!$M35)</f>
        <v>0.98468086473872929</v>
      </c>
      <c r="H52" s="29">
        <f>Sections!$O35*H$13+Sections!$N35-Sections!$L35/(H$13+Sections!$M35)</f>
        <v>0.98517503039231868</v>
      </c>
      <c r="I52" s="29">
        <f>Sections!$O35*I$13+Sections!$N35-Sections!$L35/(I$13+Sections!$M35)</f>
        <v>0.9859986398149676</v>
      </c>
      <c r="J52" s="29">
        <f>Sections!$O35*J$13+Sections!$N35-Sections!$L35/(J$13+Sections!$M35)</f>
        <v>0.98682224923761663</v>
      </c>
      <c r="K52" s="29">
        <f>Sections!$O35*K$13+Sections!$N35-Sections!$L35/(K$13+Sections!$M35)</f>
        <v>0.98846946808291447</v>
      </c>
      <c r="L52" s="29">
        <f>Sections!$O35*L$13+Sections!$N35-Sections!$L35/(L$13+Sections!$M35)</f>
        <v>0.99011668692821242</v>
      </c>
      <c r="M52" s="29">
        <f>Sections!$O35*M$13+Sections!$N35-Sections!$L35/(M$13+Sections!$M35)</f>
        <v>0.99176390577351037</v>
      </c>
      <c r="N52" s="29">
        <f>Sections!$O35*N$13+Sections!$N35-Sections!$L35/(N$13+Sections!$M35)</f>
        <v>0.99341112461880832</v>
      </c>
      <c r="O52" s="29">
        <f>Sections!$O35*O$13+Sections!$N35-Sections!$L35/(O$13+Sections!$M35)</f>
        <v>0.99505834346410627</v>
      </c>
      <c r="P52" s="29">
        <f>Sections!$O35*P$13+Sections!$N35-Sections!$L35/(P$13+Sections!$M35)</f>
        <v>0.9967055623094041</v>
      </c>
      <c r="Q52" s="29">
        <f>Sections!$O35*Q$13+Sections!$N35-Sections!$L35/(Q$13+Sections!$M35)</f>
        <v>0.99835278115470205</v>
      </c>
      <c r="R52" s="29">
        <v>1</v>
      </c>
      <c r="S52" s="29">
        <f>Sections!$O35*S$13+Sections!$N35-Sections!$L35/(S$13+Sections!$M35)</f>
        <v>1.0016472188452978</v>
      </c>
      <c r="T52" s="29">
        <f>Sections!$O35*T$13+Sections!$N35-Sections!$L35/(T$13+Sections!$M35)</f>
        <v>1.0032944376905959</v>
      </c>
      <c r="U52" s="36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34"/>
      <c r="AN52" s="29"/>
      <c r="AO52" s="231"/>
      <c r="AR52" s="29"/>
      <c r="AS52" s="29"/>
      <c r="AT52" s="29"/>
      <c r="AV52" s="38"/>
      <c r="AW52" s="38"/>
      <c r="AX52" s="38"/>
      <c r="AY52" s="38"/>
    </row>
    <row r="53" spans="1:51" x14ac:dyDescent="0.2">
      <c r="C53" s="29">
        <f>IF(Sections!$B35&lt;0.72,C51,C52)</f>
        <v>0</v>
      </c>
      <c r="D53" s="29">
        <f>IF(Sections!$B35&lt;0.72,D51,D52)</f>
        <v>1.7124839362596782E-2</v>
      </c>
      <c r="E53" s="29">
        <f>IF(Sections!$B35&lt;0.72,E51,E52)</f>
        <v>5.2004121516392471E-2</v>
      </c>
      <c r="F53" s="29">
        <f>IF(Sections!$B35&lt;0.72,F51,F52)</f>
        <v>8.7588921161206812E-2</v>
      </c>
      <c r="G53" s="29">
        <f>IF(Sections!$B35&lt;0.72,G51,G52)</f>
        <v>0.12372388788060315</v>
      </c>
      <c r="H53" s="29">
        <f>IF(Sections!$B35&lt;0.72,H51,H52)</f>
        <v>0.17863324303887704</v>
      </c>
      <c r="I53" s="29">
        <f>IF(Sections!$B35&lt;0.72,I51,I52)</f>
        <v>0.27087418037944766</v>
      </c>
      <c r="J53" s="29">
        <f>IF(Sections!$B35&lt;0.72,J51,J52)</f>
        <v>0.36229375507687117</v>
      </c>
      <c r="K53" s="29">
        <f>IF(Sections!$B35&lt;0.72,K51,K52)</f>
        <v>0.53580093985565813</v>
      </c>
      <c r="L53" s="29">
        <f>IF(Sections!$B35&lt;0.72,L51,L52)</f>
        <v>0.68782711547715136</v>
      </c>
      <c r="M53" s="29">
        <f>IF(Sections!$B35&lt;0.72,M51,M52)</f>
        <v>0.810897514403501</v>
      </c>
      <c r="N53" s="29">
        <f>IF(Sections!$B35&lt;0.72,N51,N52)</f>
        <v>0.90139028345709538</v>
      </c>
      <c r="O53" s="29">
        <f>IF(Sections!$B35&lt;0.72,O51,O52)</f>
        <v>0.95953648382056078</v>
      </c>
      <c r="P53" s="29">
        <f>IF(Sections!$B35&lt;0.72,P51,P52)</f>
        <v>0.98942009103676087</v>
      </c>
      <c r="Q53" s="29">
        <f>IF(Sections!$B35&lt;0.72,Q51,Q52)</f>
        <v>0.99897799500878981</v>
      </c>
      <c r="R53" s="29">
        <v>1</v>
      </c>
      <c r="S53" s="29">
        <f>IF(Sections!$B35&lt;0.72,S51,S52)</f>
        <v>1.0081288246339533</v>
      </c>
      <c r="T53" s="29">
        <f>IF(Sections!$B35&lt;0.72,T51,T52)</f>
        <v>1.0428601018944743</v>
      </c>
      <c r="U53" s="29"/>
      <c r="V53" s="29">
        <f>C53*Sections!$Q35</f>
        <v>0</v>
      </c>
      <c r="W53" s="29">
        <f>D53*Sections!$Q35</f>
        <v>0.10208689805996866</v>
      </c>
      <c r="X53" s="29">
        <f>E53*Sections!$Q35</f>
        <v>0.31001397090694477</v>
      </c>
      <c r="Y53" s="29">
        <f>F53*Sections!$Q35</f>
        <v>0.52214686961074364</v>
      </c>
      <c r="Z53" s="29">
        <f>G53*Sections!$Q35</f>
        <v>0.73755949835285617</v>
      </c>
      <c r="AA53" s="29">
        <f>H53*Sections!$Q35</f>
        <v>1.0648925392002133</v>
      </c>
      <c r="AB53" s="29">
        <f>I53*Sections!$Q35</f>
        <v>1.614771633996865</v>
      </c>
      <c r="AC53" s="29">
        <f>J53*Sections!$Q35</f>
        <v>2.1597543112186832</v>
      </c>
      <c r="AD53" s="29">
        <f>K53*Sections!$Q35</f>
        <v>3.1940887017573534</v>
      </c>
      <c r="AE53" s="29">
        <f>L53*Sections!$Q35</f>
        <v>4.1003676083505454</v>
      </c>
      <c r="AF53" s="29">
        <f>M53*Sections!$Q35</f>
        <v>4.8340314403649538</v>
      </c>
      <c r="AG53" s="29">
        <f>N53*Sections!$Q35</f>
        <v>5.373489118999653</v>
      </c>
      <c r="AH53" s="29">
        <f>O53*Sections!$Q35</f>
        <v>5.720118077286096</v>
      </c>
      <c r="AI53" s="29">
        <f>P53*Sections!$Q35</f>
        <v>5.8982642600881148</v>
      </c>
      <c r="AJ53" s="29">
        <f>Q53*Sections!$Q35</f>
        <v>5.955242124101872</v>
      </c>
      <c r="AK53" s="29">
        <f>R53*Sections!$Q35</f>
        <v>5.9613346378560355</v>
      </c>
      <c r="AL53" s="29">
        <f>(2*AO53+2*AK53-4*AM53)*0.25^2+(4*AM53-3*AK53-AO53)*0.25+AK53</f>
        <v>6.0078110847665283</v>
      </c>
      <c r="AM53" s="234">
        <f>_xll.Spline('Mid Upr WL Opt1 Calcs'!$O$24:$O$44,'Cxx Selected'!$I$77:$I$97,Sections!A35,TRUE)</f>
        <v>6.0882168120116846</v>
      </c>
      <c r="AN53" s="29">
        <f>(2*AO53+2*AK53-4*AM53)*0.75^2+(4*AM53-3*AK53-AO53)*0.75+AK53</f>
        <v>6.2025518195915028</v>
      </c>
      <c r="AO53" s="231">
        <f>_xll.Spline('CWD Opt1 Calcs'!$J$26:$J$46,'Cxx Selected'!$I$52:$I$72,Sections!A35,TRUE)</f>
        <v>6.3508161075059864</v>
      </c>
      <c r="AR53" s="29"/>
      <c r="AS53" s="29"/>
      <c r="AT53" s="29"/>
      <c r="AV53" s="38"/>
      <c r="AW53" s="38"/>
      <c r="AX53" s="36">
        <f>AK53-AS50*AK50</f>
        <v>5.8313287231502695</v>
      </c>
      <c r="AY53" s="38">
        <v>0</v>
      </c>
    </row>
    <row r="54" spans="1:51" x14ac:dyDescent="0.2"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>
        <f t="shared" ref="V54:AO54" si="15">-V53</f>
        <v>0</v>
      </c>
      <c r="W54" s="29">
        <f t="shared" si="15"/>
        <v>-0.10208689805996866</v>
      </c>
      <c r="X54" s="29">
        <f t="shared" si="15"/>
        <v>-0.31001397090694477</v>
      </c>
      <c r="Y54" s="29">
        <f t="shared" si="15"/>
        <v>-0.52214686961074364</v>
      </c>
      <c r="Z54" s="29">
        <f t="shared" si="15"/>
        <v>-0.73755949835285617</v>
      </c>
      <c r="AA54" s="29">
        <f t="shared" si="15"/>
        <v>-1.0648925392002133</v>
      </c>
      <c r="AB54" s="29">
        <f t="shared" si="15"/>
        <v>-1.614771633996865</v>
      </c>
      <c r="AC54" s="29">
        <f t="shared" si="15"/>
        <v>-2.1597543112186832</v>
      </c>
      <c r="AD54" s="29">
        <f t="shared" si="15"/>
        <v>-3.1940887017573534</v>
      </c>
      <c r="AE54" s="29">
        <f t="shared" si="15"/>
        <v>-4.1003676083505454</v>
      </c>
      <c r="AF54" s="29">
        <f t="shared" si="15"/>
        <v>-4.8340314403649538</v>
      </c>
      <c r="AG54" s="29">
        <f t="shared" si="15"/>
        <v>-5.373489118999653</v>
      </c>
      <c r="AH54" s="29">
        <f t="shared" si="15"/>
        <v>-5.720118077286096</v>
      </c>
      <c r="AI54" s="29">
        <f t="shared" si="15"/>
        <v>-5.8982642600881148</v>
      </c>
      <c r="AJ54" s="29">
        <f t="shared" si="15"/>
        <v>-5.955242124101872</v>
      </c>
      <c r="AK54" s="29">
        <f t="shared" si="15"/>
        <v>-5.9613346378560355</v>
      </c>
      <c r="AL54" s="29">
        <f>(2*AO54+2*AK54-4*AM54)*0.25^2+(4*AM54-3*AK54-AO54)*0.25+AK54</f>
        <v>-6.0078110847665283</v>
      </c>
      <c r="AM54" s="234">
        <f t="shared" si="15"/>
        <v>-6.0882168120116846</v>
      </c>
      <c r="AN54" s="29">
        <f>(2*AO54+2*AK54-4*AM54)*0.75^2+(4*AM54-3*AK54-AO54)*0.75+AK54</f>
        <v>-6.2025518195915028</v>
      </c>
      <c r="AO54" s="231">
        <f t="shared" si="15"/>
        <v>-6.3508161075059864</v>
      </c>
      <c r="AR54" s="29"/>
      <c r="AS54" s="29"/>
      <c r="AT54" s="29"/>
      <c r="AV54" s="38"/>
      <c r="AW54" s="38"/>
      <c r="AX54" s="36">
        <f>AK53</f>
        <v>5.9613346378560355</v>
      </c>
      <c r="AY54" s="36">
        <f>AK50</f>
        <v>4.8514589937413639</v>
      </c>
    </row>
    <row r="55" spans="1:51" x14ac:dyDescent="0.2"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34"/>
      <c r="AN55" s="29"/>
      <c r="AO55" s="231"/>
      <c r="AR55" s="29"/>
      <c r="AS55" s="29"/>
      <c r="AT55" s="29"/>
    </row>
    <row r="56" spans="1:51" x14ac:dyDescent="0.2"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>
        <f>C$26*Sections!$R36+($C$1-Sections!$R36)</f>
        <v>0.68797988774569951</v>
      </c>
      <c r="W56" s="29">
        <f>D$26*Sections!$R36+($C$1-Sections!$R36)</f>
        <v>0.72961467880565611</v>
      </c>
      <c r="X56" s="29">
        <f>E$26*Sections!$R36+($C$1-Sections!$R36)</f>
        <v>0.81288426092556942</v>
      </c>
      <c r="Y56" s="29">
        <f>F$26*Sections!$R36+($C$1-Sections!$R36)</f>
        <v>0.89615384304548273</v>
      </c>
      <c r="Z56" s="29">
        <f>G$26*Sections!$R36+($C$1-Sections!$R36)</f>
        <v>0.97942342516539604</v>
      </c>
      <c r="AA56" s="29">
        <f>H$26*Sections!$R36+($C$1-Sections!$R36)</f>
        <v>1.104327798345266</v>
      </c>
      <c r="AB56" s="29">
        <f>I$26*Sections!$R36+($C$1-Sections!$R36)</f>
        <v>1.3125017536450492</v>
      </c>
      <c r="AC56" s="29">
        <f>J$26*Sections!$R36+($C$1-Sections!$R36)</f>
        <v>1.5206757089448324</v>
      </c>
      <c r="AD56" s="29">
        <f>K$26*Sections!$R36+($C$1-Sections!$R36)</f>
        <v>1.9370236195443988</v>
      </c>
      <c r="AE56" s="29">
        <f>L$26*Sections!$R36+($C$1-Sections!$R36)</f>
        <v>2.3533715301439653</v>
      </c>
      <c r="AF56" s="29">
        <f>M$26*Sections!$R36+($C$1-Sections!$R36)</f>
        <v>2.7697194407435317</v>
      </c>
      <c r="AG56" s="29">
        <f>N$26*Sections!$R36+($C$1-Sections!$R36)</f>
        <v>3.1860673513430982</v>
      </c>
      <c r="AH56" s="29">
        <f>O$26*Sections!$R36+($C$1-Sections!$R36)</f>
        <v>3.6024152619426646</v>
      </c>
      <c r="AI56" s="29">
        <f>P$26*Sections!$R36+($C$1-Sections!$R36)</f>
        <v>4.018763172542231</v>
      </c>
      <c r="AJ56" s="29">
        <f>Q$26*Sections!$R36+($C$1-Sections!$R36)</f>
        <v>4.4351110831417975</v>
      </c>
      <c r="AK56" s="29">
        <f>R$26*Sections!$R36+($C$1-Sections!$R36)</f>
        <v>4.8514589937413639</v>
      </c>
      <c r="AL56" s="29">
        <f>(AM56+AK56)/2</f>
        <v>5.9404473434502805</v>
      </c>
      <c r="AM56" s="234">
        <f>(AO56+AK56)/2</f>
        <v>7.029435693159197</v>
      </c>
      <c r="AN56" s="29">
        <f>(AO56+AM56)/2</f>
        <v>8.1184240428681136</v>
      </c>
      <c r="AO56" s="231">
        <f>(_xll.Spline('Profile Calcs'!$G$45:$G$65,'Profile Calcs'!$H$45:$H$65,Sections!A36,TRUE))</f>
        <v>9.2074123925770301</v>
      </c>
      <c r="AR56" s="29">
        <f>-(-4*AM59+3*AK59+AO59)*(AO56-AK56)*Sections!R36/Sections!Q36</f>
        <v>-0.86760288435959454</v>
      </c>
      <c r="AS56" s="29">
        <f>-(-4*AM59+3*AK59+AO59)/(AO56-AK56)</f>
        <v>-6.9431007835528594E-2</v>
      </c>
      <c r="AT56" s="29">
        <f>DEGREES(ATAN((AM59-AK59)/(AM56-AK56)))</f>
        <v>0.28112410787681141</v>
      </c>
      <c r="AU56" s="28">
        <f>((AX60-AX59)/AX60)/(AY60/Sections!$R$36)</f>
        <v>-4.5725086670940829E-2</v>
      </c>
      <c r="AV56" s="29">
        <f>AL56/COS(AT56*PI()/180)</f>
        <v>5.940518849770104</v>
      </c>
      <c r="AW56" s="28">
        <f>AV56*SIN(AT56*PI()/180)</f>
        <v>2.9147284065897418E-2</v>
      </c>
      <c r="AX56" s="29">
        <f>AL59-AW56</f>
        <v>6.25773162423648</v>
      </c>
      <c r="AY56" s="28">
        <v>0</v>
      </c>
    </row>
    <row r="57" spans="1:51" x14ac:dyDescent="0.2">
      <c r="A57" s="28">
        <v>15</v>
      </c>
      <c r="B57" s="28" t="s">
        <v>104</v>
      </c>
      <c r="C57" s="29">
        <f>W$3+W$4*Sections!$F36+W$5*Sections!$G36+W$6*Sections!$H36</f>
        <v>0</v>
      </c>
      <c r="D57" s="29">
        <f>X$3+X$4*Sections!$F36+X$5*Sections!$G36+X$6*Sections!$H36</f>
        <v>1.9732670811720504E-2</v>
      </c>
      <c r="E57" s="29">
        <f>Y$3+Y$4*Sections!$F36+Y$5*Sections!$G36+Y$6*Sections!$H36</f>
        <v>5.9333557884635971E-2</v>
      </c>
      <c r="F57" s="29">
        <f>Z$3+Z$4*Sections!$F36+Z$5*Sections!$G36+Z$6*Sections!$H36</f>
        <v>9.901715707817621E-2</v>
      </c>
      <c r="G57" s="29">
        <f>AA$3+AA$4*Sections!$F36+AA$5*Sections!$G36+AA$6*Sections!$H36</f>
        <v>0.13867010850337702</v>
      </c>
      <c r="H57" s="29">
        <f>AB$3+AB$4*Sections!$F36+AB$5*Sections!$G36+AB$6*Sections!$H36</f>
        <v>0.19785607274624695</v>
      </c>
      <c r="I57" s="29">
        <f>AC$3+AC$4*Sections!$F36+AC$5*Sections!$G36+AC$6*Sections!$H36</f>
        <v>0.29487857015930763</v>
      </c>
      <c r="J57" s="29">
        <f>AD$3+AD$4*Sections!$F36+AD$5*Sections!$G36+AD$6*Sections!$H36</f>
        <v>0.38863657450125655</v>
      </c>
      <c r="K57" s="29">
        <f>AE$3+AE$4*Sections!$F36+AE$5*Sections!$G36+AE$6*Sections!$H36</f>
        <v>0.56151731485142153</v>
      </c>
      <c r="L57" s="29">
        <f>AF$3+AF$4*Sections!$F36+AF$5*Sections!$G36+AF$6*Sections!$H36</f>
        <v>0.70871573584397396</v>
      </c>
      <c r="M57" s="29">
        <f>AG$3+AG$4*Sections!$F36+AG$5*Sections!$G36+AG$6*Sections!$H36</f>
        <v>0.82549091198698266</v>
      </c>
      <c r="N57" s="29">
        <f>AH$3+AH$4*Sections!$F36+AH$5*Sections!$G36+AH$6*Sections!$H36</f>
        <v>0.91014355024935567</v>
      </c>
      <c r="O57" s="29">
        <f>AI$3+AI$4*Sections!$F36+AI$5*Sections!$G36+AI$6*Sections!$H36</f>
        <v>0.96401599006084004</v>
      </c>
      <c r="P57" s="29">
        <f>AJ$3+AJ$4*Sections!$F36+AJ$5*Sections!$G36+AJ$6*Sections!$H36</f>
        <v>0.99149220331202115</v>
      </c>
      <c r="Q57" s="29">
        <f>AK$3+AK$4*Sections!$F36+AK$5*Sections!$G36+AK$6*Sections!$H36</f>
        <v>0.99999779435431613</v>
      </c>
      <c r="R57" s="29">
        <v>1</v>
      </c>
      <c r="S57" s="29">
        <f>AM$3+AM$4*Sections!$F36+AM$5*Sections!$G36+AM$6*Sections!$H36</f>
        <v>1.0050076895221585</v>
      </c>
      <c r="T57" s="29">
        <f>AN$3+AN$4*Sections!$F36+AN$5*Sections!$G36+AN$6*Sections!$H36</f>
        <v>1.0315713646547426</v>
      </c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34"/>
      <c r="AN57" s="29"/>
      <c r="AO57" s="231"/>
      <c r="AR57" s="29"/>
      <c r="AS57" s="29"/>
      <c r="AT57" s="29"/>
      <c r="AX57" s="29">
        <f>AL59</f>
        <v>6.2868789083023771</v>
      </c>
      <c r="AY57" s="29">
        <f>AL56</f>
        <v>5.9404473434502805</v>
      </c>
    </row>
    <row r="58" spans="1:51" x14ac:dyDescent="0.2">
      <c r="B58" s="28" t="s">
        <v>103</v>
      </c>
      <c r="C58" s="29" t="e">
        <f>Sections!$O36*C$13+Sections!$N36-Sections!$L36/(C$13+Sections!$M36)</f>
        <v>#DIV/0!</v>
      </c>
      <c r="D58" s="29">
        <f>Sections!$O36*D$13+Sections!$N36-Sections!$L36/(D$13+Sections!$M36)</f>
        <v>1</v>
      </c>
      <c r="E58" s="29">
        <f>Sections!$O36*E$13+Sections!$N36-Sections!$L36/(E$13+Sections!$M36)</f>
        <v>1</v>
      </c>
      <c r="F58" s="29">
        <f>Sections!$O36*F$13+Sections!$N36-Sections!$L36/(F$13+Sections!$M36)</f>
        <v>1</v>
      </c>
      <c r="G58" s="29">
        <f>Sections!$O36*G$13+Sections!$N36-Sections!$L36/(G$13+Sections!$M36)</f>
        <v>1</v>
      </c>
      <c r="H58" s="29">
        <f>Sections!$O36*H$13+Sections!$N36-Sections!$L36/(H$13+Sections!$M36)</f>
        <v>1</v>
      </c>
      <c r="I58" s="29">
        <f>Sections!$O36*I$13+Sections!$N36-Sections!$L36/(I$13+Sections!$M36)</f>
        <v>1</v>
      </c>
      <c r="J58" s="29">
        <f>Sections!$O36*J$13+Sections!$N36-Sections!$L36/(J$13+Sections!$M36)</f>
        <v>1</v>
      </c>
      <c r="K58" s="29">
        <f>Sections!$O36*K$13+Sections!$N36-Sections!$L36/(K$13+Sections!$M36)</f>
        <v>1</v>
      </c>
      <c r="L58" s="29">
        <f>Sections!$O36*L$13+Sections!$N36-Sections!$L36/(L$13+Sections!$M36)</f>
        <v>1</v>
      </c>
      <c r="M58" s="29">
        <f>Sections!$O36*M$13+Sections!$N36-Sections!$L36/(M$13+Sections!$M36)</f>
        <v>1</v>
      </c>
      <c r="N58" s="29">
        <f>Sections!$O36*N$13+Sections!$N36-Sections!$L36/(N$13+Sections!$M36)</f>
        <v>1</v>
      </c>
      <c r="O58" s="29">
        <f>Sections!$O36*O$13+Sections!$N36-Sections!$L36/(O$13+Sections!$M36)</f>
        <v>1</v>
      </c>
      <c r="P58" s="29">
        <f>Sections!$O36*P$13+Sections!$N36-Sections!$L36/(P$13+Sections!$M36)</f>
        <v>1</v>
      </c>
      <c r="Q58" s="29">
        <f>Sections!$O36*Q$13+Sections!$N36-Sections!$L36/(Q$13+Sections!$M36)</f>
        <v>1</v>
      </c>
      <c r="R58" s="29">
        <v>1</v>
      </c>
      <c r="S58" s="29">
        <f>Sections!$O36*S$13+Sections!$N36-Sections!$L36/(S$13+Sections!$M36)</f>
        <v>1</v>
      </c>
      <c r="T58" s="29">
        <f>Sections!$O36*T$13+Sections!$N36-Sections!$L36/(T$13+Sections!$M36)</f>
        <v>1</v>
      </c>
      <c r="U58" s="36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34"/>
      <c r="AN58" s="29"/>
      <c r="AO58" s="231"/>
      <c r="AR58" s="29"/>
      <c r="AS58" s="29"/>
      <c r="AT58" s="29"/>
      <c r="AV58" s="38"/>
      <c r="AW58" s="38"/>
      <c r="AX58" s="38"/>
      <c r="AY58" s="38"/>
    </row>
    <row r="59" spans="1:51" x14ac:dyDescent="0.2">
      <c r="C59" s="29">
        <f>IF(Sections!$B36&lt;0.72,C57,C58)</f>
        <v>0</v>
      </c>
      <c r="D59" s="29">
        <f>IF(Sections!$B36&lt;0.72,D57,D58)</f>
        <v>1.9732670811720504E-2</v>
      </c>
      <c r="E59" s="29">
        <f>IF(Sections!$B36&lt;0.72,E57,E58)</f>
        <v>5.9333557884635971E-2</v>
      </c>
      <c r="F59" s="29">
        <f>IF(Sections!$B36&lt;0.72,F57,F58)</f>
        <v>9.901715707817621E-2</v>
      </c>
      <c r="G59" s="29">
        <f>IF(Sections!$B36&lt;0.72,G57,G58)</f>
        <v>0.13867010850337702</v>
      </c>
      <c r="H59" s="29">
        <f>IF(Sections!$B36&lt;0.72,H57,H58)</f>
        <v>0.19785607274624695</v>
      </c>
      <c r="I59" s="29">
        <f>IF(Sections!$B36&lt;0.72,I57,I58)</f>
        <v>0.29487857015930763</v>
      </c>
      <c r="J59" s="29">
        <f>IF(Sections!$B36&lt;0.72,J57,J58)</f>
        <v>0.38863657450125655</v>
      </c>
      <c r="K59" s="29">
        <f>IF(Sections!$B36&lt;0.72,K57,K58)</f>
        <v>0.56151731485142153</v>
      </c>
      <c r="L59" s="29">
        <f>IF(Sections!$B36&lt;0.72,L57,L58)</f>
        <v>0.70871573584397396</v>
      </c>
      <c r="M59" s="29">
        <f>IF(Sections!$B36&lt;0.72,M57,M58)</f>
        <v>0.82549091198698266</v>
      </c>
      <c r="N59" s="29">
        <f>IF(Sections!$B36&lt;0.72,N57,N58)</f>
        <v>0.91014355024935567</v>
      </c>
      <c r="O59" s="29">
        <f>IF(Sections!$B36&lt;0.72,O57,O58)</f>
        <v>0.96401599006084004</v>
      </c>
      <c r="P59" s="29">
        <f>IF(Sections!$B36&lt;0.72,P57,P58)</f>
        <v>0.99149220331202115</v>
      </c>
      <c r="Q59" s="29">
        <f>IF(Sections!$B36&lt;0.72,Q57,Q58)</f>
        <v>0.99999779435431613</v>
      </c>
      <c r="R59" s="29">
        <v>1</v>
      </c>
      <c r="S59" s="29">
        <f>IF(Sections!$B36&lt;0.72,S57,S58)</f>
        <v>1.0050076895221585</v>
      </c>
      <c r="T59" s="29">
        <f>IF(Sections!$B36&lt;0.72,T57,T58)</f>
        <v>1.0315713646547426</v>
      </c>
      <c r="U59" s="29"/>
      <c r="V59" s="29">
        <f>C59*Sections!$Q36</f>
        <v>0</v>
      </c>
      <c r="W59" s="29">
        <f>D59*Sections!$Q36</f>
        <v>0.12475018330222053</v>
      </c>
      <c r="X59" s="29">
        <f>E59*Sections!$Q36</f>
        <v>0.37510746987603932</v>
      </c>
      <c r="Y59" s="29">
        <f>F59*Sections!$Q36</f>
        <v>0.62598766347586121</v>
      </c>
      <c r="Z59" s="29">
        <f>G59*Sections!$Q36</f>
        <v>0.87667410151392333</v>
      </c>
      <c r="AA59" s="29">
        <f>H59*Sections!$Q36</f>
        <v>1.2508484826033388</v>
      </c>
      <c r="AB59" s="29">
        <f>I59*Sections!$Q36</f>
        <v>1.8642258835748</v>
      </c>
      <c r="AC59" s="29">
        <f>J59*Sections!$Q36</f>
        <v>2.4569651199057132</v>
      </c>
      <c r="AD59" s="29">
        <f>K59*Sections!$Q36</f>
        <v>3.5499192493232425</v>
      </c>
      <c r="AE59" s="29">
        <f>L59*Sections!$Q36</f>
        <v>4.4805094454416183</v>
      </c>
      <c r="AF59" s="29">
        <f>M59*Sections!$Q36</f>
        <v>5.2187635200160916</v>
      </c>
      <c r="AG59" s="29">
        <f>N59*Sections!$Q36</f>
        <v>5.7539385219714818</v>
      </c>
      <c r="AH59" s="29">
        <f>O59*Sections!$Q36</f>
        <v>6.0945207374021839</v>
      </c>
      <c r="AI59" s="29">
        <f>P59*Sections!$Q36</f>
        <v>6.2682256895721569</v>
      </c>
      <c r="AJ59" s="29">
        <f>Q59*Sections!$Q36</f>
        <v>6.3219981389148883</v>
      </c>
      <c r="AK59" s="29">
        <f>R59*Sections!$Q36</f>
        <v>6.3220120830335524</v>
      </c>
      <c r="AL59" s="29">
        <f>(2*AO59+2*AK59-4*AM59)*0.25^2+(4*AM59-3*AK59-AO59)*0.25+AK59</f>
        <v>6.2868789083023771</v>
      </c>
      <c r="AM59" s="234">
        <f>_xll.Spline('Mid Upr WL Opt1 Calcs'!$O$24:$O$44,'Cxx Selected'!$I$77:$I$97,Sections!A36,TRUE)</f>
        <v>6.3326985013917305</v>
      </c>
      <c r="AN59" s="29">
        <f>(2*AO59+2*AK59-4*AM59)*0.75^2+(4*AM59-3*AK59-AO59)*0.75+AK59</f>
        <v>6.459470862301611</v>
      </c>
      <c r="AO59" s="231">
        <f>_xll.Spline('CWD Opt1 Calcs'!$J$26:$J$46,'Cxx Selected'!$I$52:$I$72,Sections!A36,TRUE)</f>
        <v>6.6671959910320213</v>
      </c>
      <c r="AR59" s="29"/>
      <c r="AS59" s="29"/>
      <c r="AT59" s="29"/>
      <c r="AV59" s="38"/>
      <c r="AW59" s="38"/>
      <c r="AX59" s="36">
        <f>AK59-AS56*AK56</f>
        <v>6.6588537704417545</v>
      </c>
      <c r="AY59" s="38">
        <v>0</v>
      </c>
    </row>
    <row r="60" spans="1:51" x14ac:dyDescent="0.2"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>
        <f t="shared" ref="V60:AO60" si="16">-V59</f>
        <v>0</v>
      </c>
      <c r="W60" s="29">
        <f t="shared" si="16"/>
        <v>-0.12475018330222053</v>
      </c>
      <c r="X60" s="29">
        <f t="shared" si="16"/>
        <v>-0.37510746987603932</v>
      </c>
      <c r="Y60" s="29">
        <f t="shared" si="16"/>
        <v>-0.62598766347586121</v>
      </c>
      <c r="Z60" s="29">
        <f t="shared" si="16"/>
        <v>-0.87667410151392333</v>
      </c>
      <c r="AA60" s="29">
        <f t="shared" si="16"/>
        <v>-1.2508484826033388</v>
      </c>
      <c r="AB60" s="29">
        <f t="shared" si="16"/>
        <v>-1.8642258835748</v>
      </c>
      <c r="AC60" s="29">
        <f t="shared" si="16"/>
        <v>-2.4569651199057132</v>
      </c>
      <c r="AD60" s="29">
        <f t="shared" si="16"/>
        <v>-3.5499192493232425</v>
      </c>
      <c r="AE60" s="29">
        <f t="shared" si="16"/>
        <v>-4.4805094454416183</v>
      </c>
      <c r="AF60" s="29">
        <f t="shared" si="16"/>
        <v>-5.2187635200160916</v>
      </c>
      <c r="AG60" s="29">
        <f t="shared" si="16"/>
        <v>-5.7539385219714818</v>
      </c>
      <c r="AH60" s="29">
        <f t="shared" si="16"/>
        <v>-6.0945207374021839</v>
      </c>
      <c r="AI60" s="29">
        <f t="shared" si="16"/>
        <v>-6.2682256895721569</v>
      </c>
      <c r="AJ60" s="29">
        <f t="shared" si="16"/>
        <v>-6.3219981389148883</v>
      </c>
      <c r="AK60" s="29">
        <f t="shared" si="16"/>
        <v>-6.3220120830335524</v>
      </c>
      <c r="AL60" s="29">
        <f>(2*AO60+2*AK60-4*AM60)*0.25^2+(4*AM60-3*AK60-AO60)*0.25+AK60</f>
        <v>-6.2868789083023771</v>
      </c>
      <c r="AM60" s="234">
        <f t="shared" si="16"/>
        <v>-6.3326985013917305</v>
      </c>
      <c r="AN60" s="29">
        <f>(2*AO60+2*AK60-4*AM60)*0.75^2+(4*AM60-3*AK60-AO60)*0.75+AK60</f>
        <v>-6.459470862301611</v>
      </c>
      <c r="AO60" s="231">
        <f t="shared" si="16"/>
        <v>-6.6671959910320213</v>
      </c>
      <c r="AR60" s="29"/>
      <c r="AS60" s="29"/>
      <c r="AT60" s="29"/>
      <c r="AV60" s="38"/>
      <c r="AW60" s="38"/>
      <c r="AX60" s="36">
        <f>AK59</f>
        <v>6.3220120830335524</v>
      </c>
      <c r="AY60" s="36">
        <f>AK56</f>
        <v>4.8514589937413639</v>
      </c>
    </row>
    <row r="61" spans="1:51" x14ac:dyDescent="0.2"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34"/>
      <c r="AN61" s="29"/>
      <c r="AO61" s="231"/>
      <c r="AR61" s="29"/>
      <c r="AS61" s="29"/>
      <c r="AT61" s="29"/>
    </row>
    <row r="62" spans="1:51" x14ac:dyDescent="0.2"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>
        <f>C$26*Sections!$R37+($C$1-Sections!$R37)</f>
        <v>0.32480778077737416</v>
      </c>
      <c r="W62" s="29">
        <f>D$26*Sections!$R37+($C$1-Sections!$R37)</f>
        <v>0.37007429290701405</v>
      </c>
      <c r="X62" s="29">
        <f>E$26*Sections!$R37+($C$1-Sections!$R37)</f>
        <v>0.46060731716629388</v>
      </c>
      <c r="Y62" s="29">
        <f>F$26*Sections!$R37+($C$1-Sections!$R37)</f>
        <v>0.55114034142557367</v>
      </c>
      <c r="Z62" s="29">
        <f>G$26*Sections!$R37+($C$1-Sections!$R37)</f>
        <v>0.64167336568485345</v>
      </c>
      <c r="AA62" s="29">
        <f>H$26*Sections!$R37+($C$1-Sections!$R37)</f>
        <v>0.77747290207377318</v>
      </c>
      <c r="AB62" s="29">
        <f>I$26*Sections!$R37+($C$1-Sections!$R37)</f>
        <v>1.0038054627219726</v>
      </c>
      <c r="AC62" s="29">
        <f>J$26*Sections!$R37+($C$1-Sections!$R37)</f>
        <v>1.2301380233701722</v>
      </c>
      <c r="AD62" s="29">
        <f>K$26*Sections!$R37+($C$1-Sections!$R37)</f>
        <v>1.682803144666571</v>
      </c>
      <c r="AE62" s="29">
        <f>L$26*Sections!$R37+($C$1-Sections!$R37)</f>
        <v>2.1354682659629702</v>
      </c>
      <c r="AF62" s="29">
        <f>M$26*Sections!$R37+($C$1-Sections!$R37)</f>
        <v>2.588133387259369</v>
      </c>
      <c r="AG62" s="29">
        <f>N$26*Sections!$R37+($C$1-Sections!$R37)</f>
        <v>3.0407985085557678</v>
      </c>
      <c r="AH62" s="29">
        <f>O$26*Sections!$R37+($C$1-Sections!$R37)</f>
        <v>3.4934636298521666</v>
      </c>
      <c r="AI62" s="29">
        <f>P$26*Sections!$R37+($C$1-Sections!$R37)</f>
        <v>3.9461287511485663</v>
      </c>
      <c r="AJ62" s="29">
        <f>Q$26*Sections!$R37+($C$1-Sections!$R37)</f>
        <v>4.3987938724449647</v>
      </c>
      <c r="AK62" s="29">
        <f>R$26*Sections!$R37+($C$1-Sections!$R37)</f>
        <v>4.8514589937413639</v>
      </c>
      <c r="AL62" s="29">
        <f>(AM62+AK62)/2</f>
        <v>5.9281405899156017</v>
      </c>
      <c r="AM62" s="234">
        <f>(AO62+AK62)/2</f>
        <v>7.0048221860898394</v>
      </c>
      <c r="AN62" s="29">
        <f>(AO62+AM62)/2</f>
        <v>8.0815037822640772</v>
      </c>
      <c r="AO62" s="231">
        <f>(_xll.Spline('Profile Calcs'!$G$45:$G$65,'Profile Calcs'!$H$45:$H$65,Sections!A37,TRUE))</f>
        <v>9.1581853784383149</v>
      </c>
      <c r="AR62" s="29">
        <f>-(-4*AM65+3*AK65+AO65)*(AO62-AK62)*Sections!R37/Sections!Q37</f>
        <v>-1.7329696399444801</v>
      </c>
      <c r="AS62" s="29">
        <f>-(-4*AM65+3*AK65+AO65)/(AO62-AK62)</f>
        <v>-0.13696534293386028</v>
      </c>
      <c r="AT62" s="29">
        <f>DEGREES(ATAN((AM65-AK65)/(AM62-AK62)))</f>
        <v>-2.1609598558537115</v>
      </c>
      <c r="AU62" s="28">
        <f>((AX66-AX65)/AX66)/(AY66/Sections!$R$37)</f>
        <v>-9.3432160683410287E-2</v>
      </c>
      <c r="AV62" s="29">
        <f>AL62/COS(AT62*PI()/180)</f>
        <v>5.932359440188141</v>
      </c>
      <c r="AW62" s="28">
        <f>AV62*SIN(AT62*PI()/180)</f>
        <v>-0.22369102303055094</v>
      </c>
      <c r="AX62" s="29">
        <f>AL65-AW62</f>
        <v>6.7654134426260528</v>
      </c>
      <c r="AY62" s="28">
        <v>0</v>
      </c>
    </row>
    <row r="63" spans="1:51" x14ac:dyDescent="0.2">
      <c r="A63" s="28">
        <v>14</v>
      </c>
      <c r="B63" s="28" t="s">
        <v>104</v>
      </c>
      <c r="C63" s="29">
        <f>W$3+W$4*Sections!$F37+W$5*Sections!$G37+W$6*Sections!$H37</f>
        <v>0</v>
      </c>
      <c r="D63" s="29">
        <f>X$3+X$4*Sections!$F37+X$5*Sections!$G37+X$6*Sections!$H37</f>
        <v>2.8371074726824229E-2</v>
      </c>
      <c r="E63" s="29">
        <f>Y$3+Y$4*Sections!$F37+Y$5*Sections!$G37+Y$6*Sections!$H37</f>
        <v>8.3223978465609971E-2</v>
      </c>
      <c r="F63" s="29">
        <f>Z$3+Z$4*Sections!$F37+Z$5*Sections!$G37+Z$6*Sections!$H37</f>
        <v>0.13562957469089215</v>
      </c>
      <c r="G63" s="29">
        <f>AA$3+AA$4*Sections!$F37+AA$5*Sections!$G37+AA$6*Sections!$H37</f>
        <v>0.18567226377150389</v>
      </c>
      <c r="H63" s="29">
        <f>AB$3+AB$4*Sections!$F37+AB$5*Sections!$G37+AB$6*Sections!$H37</f>
        <v>0.25648590548152228</v>
      </c>
      <c r="I63" s="29">
        <f>AC$3+AC$4*Sections!$F37+AC$5*Sections!$G37+AC$6*Sections!$H37</f>
        <v>0.36383700567419097</v>
      </c>
      <c r="J63" s="29">
        <f>AD$3+AD$4*Sections!$F37+AD$5*Sections!$G37+AD$6*Sections!$H37</f>
        <v>0.45887839934160357</v>
      </c>
      <c r="K63" s="29">
        <f>AE$3+AE$4*Sections!$F37+AE$5*Sections!$G37+AE$6*Sections!$H37</f>
        <v>0.61645171724350156</v>
      </c>
      <c r="L63" s="29">
        <f>AF$3+AF$4*Sections!$F37+AF$5*Sections!$G37+AF$6*Sections!$H37</f>
        <v>0.7373202671769441</v>
      </c>
      <c r="M63" s="29">
        <f>AG$3+AG$4*Sections!$F37+AG$5*Sections!$G37+AG$6*Sections!$H37</f>
        <v>0.82843862945812841</v>
      </c>
      <c r="N63" s="29">
        <f>AH$3+AH$4*Sections!$F37+AH$5*Sections!$G37+AH$6*Sections!$H37</f>
        <v>0.8956015567297223</v>
      </c>
      <c r="O63" s="29">
        <f>AI$3+AI$4*Sections!$F37+AI$5*Sections!$G37+AI$6*Sections!$H37</f>
        <v>0.94344397396086355</v>
      </c>
      <c r="P63" s="29">
        <f>AJ$3+AJ$4*Sections!$F37+AJ$5*Sections!$G37+AJ$6*Sections!$H37</f>
        <v>0.97544097844716071</v>
      </c>
      <c r="Q63" s="29">
        <f>AK$3+AK$4*Sections!$F37+AK$5*Sections!$G37+AK$6*Sections!$H37</f>
        <v>0.99390783981068553</v>
      </c>
      <c r="R63" s="29">
        <v>1</v>
      </c>
      <c r="S63" s="29">
        <f>AM$3+AM$4*Sections!$F37+AM$5*Sections!$G37+AM$6*Sections!$H37</f>
        <v>0.99371307329010716</v>
      </c>
      <c r="T63" s="29">
        <f>AN$3+AN$4*Sections!$F37+AN$5*Sections!$G37+AN$6*Sections!$H37</f>
        <v>0.9738828462825071</v>
      </c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34"/>
      <c r="AN63" s="29"/>
      <c r="AO63" s="231"/>
      <c r="AR63" s="29"/>
      <c r="AS63" s="29"/>
      <c r="AT63" s="29"/>
      <c r="AX63" s="29">
        <f>AL65</f>
        <v>6.5417224195955015</v>
      </c>
      <c r="AY63" s="29">
        <f>AL62</f>
        <v>5.9281405899156017</v>
      </c>
    </row>
    <row r="64" spans="1:51" x14ac:dyDescent="0.2">
      <c r="B64" s="28" t="s">
        <v>103</v>
      </c>
      <c r="C64" s="29">
        <f>Sections!$O37*C$13+Sections!$N37-Sections!$L37/(C$13+Sections!$M37)</f>
        <v>0</v>
      </c>
      <c r="D64" s="29">
        <f>Sections!$O37*D$13+Sections!$N37-Sections!$L37/(D$13+Sections!$M37)</f>
        <v>2.8691398009837776E-2</v>
      </c>
      <c r="E64" s="29">
        <f>Sections!$O37*E$13+Sections!$N37-Sections!$L37/(E$13+Sections!$M37)</f>
        <v>8.3973115244015517E-2</v>
      </c>
      <c r="F64" s="29">
        <f>Sections!$O37*F$13+Sections!$N37-Sections!$L37/(F$13+Sections!$M37)</f>
        <v>0.13657468531431771</v>
      </c>
      <c r="G64" s="29">
        <f>Sections!$O37*G$13+Sections!$N37-Sections!$L37/(G$13+Sections!$M37)</f>
        <v>0.18663298546651497</v>
      </c>
      <c r="H64" s="29">
        <f>Sections!$O37*H$13+Sections!$N37-Sections!$L37/(H$13+Sections!$M37)</f>
        <v>0.25722885735618828</v>
      </c>
      <c r="I64" s="29">
        <f>Sections!$O37*I$13+Sections!$N37-Sections!$L37/(I$13+Sections!$M37)</f>
        <v>0.3638656093150705</v>
      </c>
      <c r="J64" s="29">
        <f>Sections!$O37*J$13+Sections!$N37-Sections!$L37/(J$13+Sections!$M37)</f>
        <v>0.45809633677039407</v>
      </c>
      <c r="K64" s="29">
        <f>Sections!$O37*K$13+Sections!$N37-Sections!$L37/(K$13+Sections!$M37)</f>
        <v>0.61463826889665762</v>
      </c>
      <c r="L64" s="29">
        <f>Sections!$O37*L$13+Sections!$N37-Sections!$L37/(L$13+Sections!$M37)</f>
        <v>0.73569125188146689</v>
      </c>
      <c r="M64" s="29">
        <f>Sections!$O37*M$13+Sections!$N37-Sections!$L37/(M$13+Sections!$M37)</f>
        <v>0.82788939652113491</v>
      </c>
      <c r="N64" s="29">
        <f>Sections!$O37*N$13+Sections!$N37-Sections!$L37/(N$13+Sections!$M37)</f>
        <v>0.89631027769043525</v>
      </c>
      <c r="O64" s="29">
        <f>Sections!$O37*O$13+Sections!$N37-Sections!$L37/(O$13+Sections!$M37)</f>
        <v>0.94490614601044154</v>
      </c>
      <c r="P64" s="29">
        <f>Sections!$O37*P$13+Sections!$N37-Sections!$L37/(P$13+Sections!$M37)</f>
        <v>0.9767993133923687</v>
      </c>
      <c r="Q64" s="29">
        <f>Sections!$O37*Q$13+Sections!$N37-Sections!$L37/(Q$13+Sections!$M37)</f>
        <v>0.99448913683963447</v>
      </c>
      <c r="R64" s="29">
        <v>1</v>
      </c>
      <c r="S64" s="29">
        <f>Sections!$O37*S$13+Sections!$N37-Sections!$L37/(S$13+Sections!$M37)</f>
        <v>0.99498902470212736</v>
      </c>
      <c r="T64" s="29">
        <f>Sections!$O37*T$13+Sections!$N37-Sections!$L37/(T$13+Sections!$M37)</f>
        <v>0.98082574283262591</v>
      </c>
      <c r="U64" s="36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34"/>
      <c r="AN64" s="29"/>
      <c r="AO64" s="231"/>
      <c r="AR64" s="29"/>
      <c r="AS64" s="29"/>
      <c r="AT64" s="29"/>
      <c r="AV64" s="38"/>
      <c r="AW64" s="38"/>
      <c r="AX64" s="38"/>
      <c r="AY64" s="38"/>
    </row>
    <row r="65" spans="1:51" x14ac:dyDescent="0.2">
      <c r="C65" s="29">
        <f>IF(Sections!$B37&lt;0.72,C63,C64)</f>
        <v>0</v>
      </c>
      <c r="D65" s="29">
        <f>IF(Sections!$B37&lt;0.72,D63,D64)</f>
        <v>2.8691398009837776E-2</v>
      </c>
      <c r="E65" s="29">
        <f>IF(Sections!$B37&lt;0.72,E63,E64)</f>
        <v>8.3973115244015517E-2</v>
      </c>
      <c r="F65" s="29">
        <f>IF(Sections!$B37&lt;0.72,F63,F64)</f>
        <v>0.13657468531431771</v>
      </c>
      <c r="G65" s="29">
        <f>IF(Sections!$B37&lt;0.72,G63,G64)</f>
        <v>0.18663298546651497</v>
      </c>
      <c r="H65" s="29">
        <f>IF(Sections!$B37&lt;0.72,H63,H64)</f>
        <v>0.25722885735618828</v>
      </c>
      <c r="I65" s="29">
        <f>IF(Sections!$B37&lt;0.72,I63,I64)</f>
        <v>0.3638656093150705</v>
      </c>
      <c r="J65" s="29">
        <f>IF(Sections!$B37&lt;0.72,J63,J64)</f>
        <v>0.45809633677039407</v>
      </c>
      <c r="K65" s="29">
        <f>IF(Sections!$B37&lt;0.72,K63,K64)</f>
        <v>0.61463826889665762</v>
      </c>
      <c r="L65" s="29">
        <f>IF(Sections!$B37&lt;0.72,L63,L64)</f>
        <v>0.73569125188146689</v>
      </c>
      <c r="M65" s="29">
        <f>IF(Sections!$B37&lt;0.72,M63,M64)</f>
        <v>0.82788939652113491</v>
      </c>
      <c r="N65" s="29">
        <f>IF(Sections!$B37&lt;0.72,N63,N64)</f>
        <v>0.89631027769043525</v>
      </c>
      <c r="O65" s="29">
        <f>IF(Sections!$B37&lt;0.72,O63,O64)</f>
        <v>0.94490614601044154</v>
      </c>
      <c r="P65" s="29">
        <f>IF(Sections!$B37&lt;0.72,P63,P64)</f>
        <v>0.9767993133923687</v>
      </c>
      <c r="Q65" s="29">
        <f>IF(Sections!$B37&lt;0.72,Q63,Q64)</f>
        <v>0.99448913683963447</v>
      </c>
      <c r="R65" s="29">
        <v>1</v>
      </c>
      <c r="S65" s="29">
        <f>IF(Sections!$B37&lt;0.72,S63,S64)</f>
        <v>0.99498902470212736</v>
      </c>
      <c r="T65" s="29">
        <f>IF(Sections!$B37&lt;0.72,T63,T64)</f>
        <v>0.98082574283262591</v>
      </c>
      <c r="U65" s="29"/>
      <c r="V65" s="29">
        <f>C65*Sections!$Q37</f>
        <v>0</v>
      </c>
      <c r="W65" s="29">
        <f>D65*Sections!$Q37</f>
        <v>0.19038952026832795</v>
      </c>
      <c r="X65" s="29">
        <f>E65*Sections!$Q37</f>
        <v>0.5572262850790074</v>
      </c>
      <c r="Y65" s="29">
        <f>F65*Sections!$Q37</f>
        <v>0.90627820954820826</v>
      </c>
      <c r="Z65" s="29">
        <f>G65*Sections!$Q37</f>
        <v>1.2384535796070997</v>
      </c>
      <c r="AA65" s="29">
        <f>H65*Sections!$Q37</f>
        <v>1.7069115535751389</v>
      </c>
      <c r="AB65" s="29">
        <f>I65*Sections!$Q37</f>
        <v>2.4145285209136733</v>
      </c>
      <c r="AC65" s="29">
        <f>J65*Sections!$Q37</f>
        <v>3.0398219621256741</v>
      </c>
      <c r="AD65" s="29">
        <f>K65*Sections!$Q37</f>
        <v>4.078598230510269</v>
      </c>
      <c r="AE65" s="29">
        <f>L65*Sections!$Q37</f>
        <v>4.8818779922571665</v>
      </c>
      <c r="AF65" s="29">
        <f>M65*Sections!$Q37</f>
        <v>5.4936836812499967</v>
      </c>
      <c r="AG65" s="29">
        <f>N65*Sections!$Q37</f>
        <v>5.9477089168865716</v>
      </c>
      <c r="AH65" s="29">
        <f>O65*Sections!$Q37</f>
        <v>6.2701799255594999</v>
      </c>
      <c r="AI65" s="29">
        <f>P65*Sections!$Q37</f>
        <v>6.4818156512080227</v>
      </c>
      <c r="AJ65" s="29">
        <f>Q65*Sections!$Q37</f>
        <v>6.5992012522373464</v>
      </c>
      <c r="AK65" s="29">
        <f>R65*Sections!$Q37</f>
        <v>6.6357700730737044</v>
      </c>
      <c r="AL65" s="29">
        <f>(2*AO65+2*AK65-4*AM65)*0.25^2+(4*AM65-3*AK65-AO65)*0.25+AK65</f>
        <v>6.5417224195955015</v>
      </c>
      <c r="AM65" s="234">
        <f>_xll.Spline('Mid Upr WL Opt1 Calcs'!$O$24:$O$44,'Cxx Selected'!$I$77:$I$97,Sections!A37,TRUE)</f>
        <v>6.5545155872620544</v>
      </c>
      <c r="AN65" s="29">
        <f>(2*AO65+2*AK65-4*AM65)*0.75^2+(4*AM65-3*AK65-AO65)*0.75+AK65</f>
        <v>6.674149576073364</v>
      </c>
      <c r="AO65" s="231">
        <f>_xll.Spline('CWD Opt1 Calcs'!$J$26:$J$46,'Cxx Selected'!$I$52:$I$72,Sections!A37,TRUE)</f>
        <v>6.9006243860294267</v>
      </c>
      <c r="AR65" s="29"/>
      <c r="AS65" s="29"/>
      <c r="AT65" s="29"/>
      <c r="AV65" s="38"/>
      <c r="AW65" s="38"/>
      <c r="AX65" s="36">
        <f>AK65-AS62*AK62</f>
        <v>7.3002518178810512</v>
      </c>
      <c r="AY65" s="38">
        <v>0</v>
      </c>
    </row>
    <row r="66" spans="1:51" x14ac:dyDescent="0.2"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>
        <f t="shared" ref="V66:AO66" si="17">-V65</f>
        <v>0</v>
      </c>
      <c r="W66" s="29">
        <f t="shared" si="17"/>
        <v>-0.19038952026832795</v>
      </c>
      <c r="X66" s="29">
        <f t="shared" si="17"/>
        <v>-0.5572262850790074</v>
      </c>
      <c r="Y66" s="29">
        <f t="shared" si="17"/>
        <v>-0.90627820954820826</v>
      </c>
      <c r="Z66" s="29">
        <f t="shared" si="17"/>
        <v>-1.2384535796070997</v>
      </c>
      <c r="AA66" s="29">
        <f t="shared" si="17"/>
        <v>-1.7069115535751389</v>
      </c>
      <c r="AB66" s="29">
        <f t="shared" si="17"/>
        <v>-2.4145285209136733</v>
      </c>
      <c r="AC66" s="29">
        <f t="shared" si="17"/>
        <v>-3.0398219621256741</v>
      </c>
      <c r="AD66" s="29">
        <f t="shared" si="17"/>
        <v>-4.078598230510269</v>
      </c>
      <c r="AE66" s="29">
        <f t="shared" si="17"/>
        <v>-4.8818779922571665</v>
      </c>
      <c r="AF66" s="29">
        <f t="shared" si="17"/>
        <v>-5.4936836812499967</v>
      </c>
      <c r="AG66" s="29">
        <f t="shared" si="17"/>
        <v>-5.9477089168865716</v>
      </c>
      <c r="AH66" s="29">
        <f t="shared" si="17"/>
        <v>-6.2701799255594999</v>
      </c>
      <c r="AI66" s="29">
        <f t="shared" si="17"/>
        <v>-6.4818156512080227</v>
      </c>
      <c r="AJ66" s="29">
        <f t="shared" si="17"/>
        <v>-6.5992012522373464</v>
      </c>
      <c r="AK66" s="29">
        <f t="shared" si="17"/>
        <v>-6.6357700730737044</v>
      </c>
      <c r="AL66" s="29">
        <f>(2*AO66+2*AK66-4*AM66)*0.25^2+(4*AM66-3*AK66-AO66)*0.25+AK66</f>
        <v>-6.5417224195955015</v>
      </c>
      <c r="AM66" s="234">
        <f t="shared" si="17"/>
        <v>-6.5545155872620544</v>
      </c>
      <c r="AN66" s="29">
        <f>(2*AO66+2*AK66-4*AM66)*0.75^2+(4*AM66-3*AK66-AO66)*0.75+AK66</f>
        <v>-6.674149576073364</v>
      </c>
      <c r="AO66" s="231">
        <f t="shared" si="17"/>
        <v>-6.9006243860294267</v>
      </c>
      <c r="AR66" s="29"/>
      <c r="AS66" s="29"/>
      <c r="AT66" s="29"/>
      <c r="AV66" s="38"/>
      <c r="AW66" s="38"/>
      <c r="AX66" s="36">
        <f>AK65</f>
        <v>6.6357700730737044</v>
      </c>
      <c r="AY66" s="36">
        <f>AK62</f>
        <v>4.8514589937413639</v>
      </c>
    </row>
    <row r="67" spans="1:51" x14ac:dyDescent="0.2"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34"/>
      <c r="AN67" s="29"/>
      <c r="AO67" s="231"/>
      <c r="AR67" s="29"/>
      <c r="AS67" s="29"/>
      <c r="AT67" s="29"/>
    </row>
    <row r="68" spans="1:51" x14ac:dyDescent="0.2"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>
        <f>C$26*Sections!$R38+($C$1-Sections!$R38)</f>
        <v>0.10022341115138911</v>
      </c>
      <c r="W68" s="29">
        <f>D$26*Sections!$R38+($C$1-Sections!$R38)</f>
        <v>0.14773576697728885</v>
      </c>
      <c r="X68" s="29">
        <f>E$26*Sections!$R38+($C$1-Sections!$R38)</f>
        <v>0.24276047862908834</v>
      </c>
      <c r="Y68" s="29">
        <f>F$26*Sections!$R38+($C$1-Sections!$R38)</f>
        <v>0.33778519028088783</v>
      </c>
      <c r="Z68" s="29">
        <f>G$26*Sections!$R38+($C$1-Sections!$R38)</f>
        <v>0.43280990193268737</v>
      </c>
      <c r="AA68" s="29">
        <f>H$26*Sections!$R38+($C$1-Sections!$R38)</f>
        <v>0.57534696941038654</v>
      </c>
      <c r="AB68" s="29">
        <f>I$26*Sections!$R38+($C$1-Sections!$R38)</f>
        <v>0.81290874853988526</v>
      </c>
      <c r="AC68" s="29">
        <f>J$26*Sections!$R38+($C$1-Sections!$R38)</f>
        <v>1.050470527669384</v>
      </c>
      <c r="AD68" s="29">
        <f>K$26*Sections!$R38+($C$1-Sections!$R38)</f>
        <v>1.5255940859283814</v>
      </c>
      <c r="AE68" s="29">
        <f>L$26*Sections!$R38+($C$1-Sections!$R38)</f>
        <v>2.0007176441873789</v>
      </c>
      <c r="AF68" s="29">
        <f>M$26*Sections!$R38+($C$1-Sections!$R38)</f>
        <v>2.4758412024463765</v>
      </c>
      <c r="AG68" s="29">
        <f>N$26*Sections!$R38+($C$1-Sections!$R38)</f>
        <v>2.9509647607053737</v>
      </c>
      <c r="AH68" s="29">
        <f>O$26*Sections!$R38+($C$1-Sections!$R38)</f>
        <v>3.4260883189643714</v>
      </c>
      <c r="AI68" s="29">
        <f>P$26*Sections!$R38+($C$1-Sections!$R38)</f>
        <v>3.901211877223369</v>
      </c>
      <c r="AJ68" s="29">
        <f>Q$26*Sections!$R38+($C$1-Sections!$R38)</f>
        <v>4.3763354354823667</v>
      </c>
      <c r="AK68" s="29">
        <f>R$26*Sections!$R38+($C$1-Sections!$R38)</f>
        <v>4.8514589937413639</v>
      </c>
      <c r="AL68" s="29">
        <f>(AM68+AK68)/2</f>
        <v>5.9158241806935772</v>
      </c>
      <c r="AM68" s="234">
        <f>(AO68+AK68)/2</f>
        <v>6.9801893676457905</v>
      </c>
      <c r="AN68" s="29">
        <f>(AO68+AM68)/2</f>
        <v>8.0445545545980046</v>
      </c>
      <c r="AO68" s="231">
        <f>(_xll.Spline('Profile Calcs'!$G$45:$G$65,'Profile Calcs'!$H$45:$H$65,Sections!A38,TRUE))</f>
        <v>9.108919741550217</v>
      </c>
      <c r="AR68" s="29">
        <f>-(-4*AM71+3*AK71+AO71)*(AO68-AK68)*Sections!R38/Sections!Q38</f>
        <v>-2.0216774527997687</v>
      </c>
      <c r="AS68" s="29">
        <f>-(-4*AM71+3*AK71+AO71)/(AO68-AK68)</f>
        <v>-0.1615670382698452</v>
      </c>
      <c r="AT68" s="29">
        <f>DEGREES(ATAN((AM71-AK71)/(AM68-AK68)))</f>
        <v>-3.4599573259243717</v>
      </c>
      <c r="AU68" s="28">
        <f>((AX72-AX71)/AX72)/(AY72/Sections!$R$38)</f>
        <v>-0.11153484351988183</v>
      </c>
      <c r="AV68" s="29">
        <f>AL68/COS(AT68*PI()/180)</f>
        <v>5.9266271177773096</v>
      </c>
      <c r="AW68" s="28">
        <f>AV68*SIN(AT68*PI()/180)</f>
        <v>-0.35767758707325709</v>
      </c>
      <c r="AX68" s="29">
        <f>AL71-AW68</f>
        <v>7.1220583973604539</v>
      </c>
      <c r="AY68" s="28">
        <v>0</v>
      </c>
    </row>
    <row r="69" spans="1:51" x14ac:dyDescent="0.2">
      <c r="A69" s="28">
        <v>13</v>
      </c>
      <c r="B69" s="28" t="s">
        <v>104</v>
      </c>
      <c r="C69" s="29">
        <f>W$3+W$4*Sections!$F38+W$5*Sections!$G38+W$6*Sections!$H38</f>
        <v>0</v>
      </c>
      <c r="D69" s="29">
        <f>X$3+X$4*Sections!$F38+X$5*Sections!$G38+X$6*Sections!$H38</f>
        <v>3.315581915915284E-2</v>
      </c>
      <c r="E69" s="29">
        <f>Y$3+Y$4*Sections!$F38+Y$5*Sections!$G38+Y$6*Sections!$H38</f>
        <v>9.6675024816301858E-2</v>
      </c>
      <c r="F69" s="29">
        <f>Z$3+Z$4*Sections!$F38+Z$5*Sections!$G38+Z$6*Sections!$H38</f>
        <v>0.15660696878799232</v>
      </c>
      <c r="G69" s="29">
        <f>AA$3+AA$4*Sections!$F38+AA$5*Sections!$G38+AA$6*Sections!$H38</f>
        <v>0.21311124697207631</v>
      </c>
      <c r="H69" s="29">
        <f>AB$3+AB$4*Sections!$F38+AB$5*Sections!$G38+AB$6*Sections!$H38</f>
        <v>0.29177983159891741</v>
      </c>
      <c r="I69" s="29">
        <f>AC$3+AC$4*Sections!$F38+AC$5*Sections!$G38+AC$6*Sections!$H38</f>
        <v>0.40790032629144868</v>
      </c>
      <c r="J69" s="29">
        <f>AD$3+AD$4*Sections!$F38+AD$5*Sections!$G38+AD$6*Sections!$H38</f>
        <v>0.50719026494531139</v>
      </c>
      <c r="K69" s="29">
        <f>AE$3+AE$4*Sections!$F38+AE$5*Sections!$G38+AE$6*Sections!$H38</f>
        <v>0.66336609356119003</v>
      </c>
      <c r="L69" s="29">
        <f>AF$3+AF$4*Sections!$F38+AF$5*Sections!$G38+AF$6*Sections!$H38</f>
        <v>0.77488329850538662</v>
      </c>
      <c r="M69" s="29">
        <f>AG$3+AG$4*Sections!$F38+AG$5*Sections!$G38+AG$6*Sections!$H38</f>
        <v>0.85375904837356087</v>
      </c>
      <c r="N69" s="29">
        <f>AH$3+AH$4*Sections!$F38+AH$5*Sections!$G38+AH$6*Sections!$H38</f>
        <v>0.90945169929819836</v>
      </c>
      <c r="O69" s="29">
        <f>AI$3+AI$4*Sections!$F38+AI$5*Sections!$G38+AI$6*Sections!$H38</f>
        <v>0.94886079494861042</v>
      </c>
      <c r="P69" s="29">
        <f>AJ$3+AJ$4*Sections!$F38+AJ$5*Sections!$G38+AJ$6*Sections!$H38</f>
        <v>0.97632706653093515</v>
      </c>
      <c r="Q69" s="29">
        <f>AK$3+AK$4*Sections!$F38+AK$5*Sections!$G38+AK$6*Sections!$H38</f>
        <v>0.9936324327881304</v>
      </c>
      <c r="R69" s="29">
        <v>1</v>
      </c>
      <c r="S69" s="29">
        <f>AM$3+AM$4*Sections!$F38+AM$5*Sections!$G38+AM$6*Sections!$H38</f>
        <v>0.99209406198314409</v>
      </c>
      <c r="T69" s="29">
        <f>AN$3+AN$4*Sections!$F38+AN$5*Sections!$G38+AN$6*Sections!$H38</f>
        <v>0.96402010009101735</v>
      </c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34"/>
      <c r="AN69" s="29"/>
      <c r="AO69" s="231"/>
      <c r="AR69" s="29"/>
      <c r="AS69" s="29"/>
      <c r="AT69" s="29"/>
      <c r="AX69" s="29">
        <f>AL71</f>
        <v>6.7643808102871965</v>
      </c>
      <c r="AY69" s="29">
        <f>AL68</f>
        <v>5.9158241806935772</v>
      </c>
    </row>
    <row r="70" spans="1:51" x14ac:dyDescent="0.2">
      <c r="B70" s="28" t="s">
        <v>103</v>
      </c>
      <c r="C70" s="29">
        <f>Sections!$O38*C$13+Sections!$N38-Sections!$L38/(C$13+Sections!$M38)</f>
        <v>0</v>
      </c>
      <c r="D70" s="29">
        <f>Sections!$O38*D$13+Sections!$N38-Sections!$L38/(D$13+Sections!$M38)</f>
        <v>3.363158316816417E-2</v>
      </c>
      <c r="E70" s="29">
        <f>Sections!$O38*E$13+Sections!$N38-Sections!$L38/(E$13+Sections!$M38)</f>
        <v>9.7569190919032156E-2</v>
      </c>
      <c r="F70" s="29">
        <f>Sections!$O38*F$13+Sections!$N38-Sections!$L38/(F$13+Sections!$M38)</f>
        <v>0.15736685274599393</v>
      </c>
      <c r="G70" s="29">
        <f>Sections!$O38*G$13+Sections!$N38-Sections!$L38/(G$13+Sections!$M38)</f>
        <v>0.21334559588829638</v>
      </c>
      <c r="H70" s="29">
        <f>Sections!$O38*H$13+Sections!$N38-Sections!$L38/(H$13+Sections!$M38)</f>
        <v>0.29077685154240074</v>
      </c>
      <c r="I70" s="29">
        <f>Sections!$O38*I$13+Sections!$N38-Sections!$L38/(I$13+Sections!$M38)</f>
        <v>0.40443907726755057</v>
      </c>
      <c r="J70" s="29">
        <f>Sections!$O38*J$13+Sections!$N38-Sections!$L38/(J$13+Sections!$M38)</f>
        <v>0.50163114681254894</v>
      </c>
      <c r="K70" s="29">
        <f>Sections!$O38*K$13+Sections!$N38-Sections!$L38/(K$13+Sections!$M38)</f>
        <v>0.65644993272780283</v>
      </c>
      <c r="L70" s="29">
        <f>Sections!$O38*L$13+Sections!$N38-Sections!$L38/(L$13+Sections!$M38)</f>
        <v>0.77046361588951728</v>
      </c>
      <c r="M70" s="29">
        <f>Sections!$O38*M$13+Sections!$N38-Sections!$L38/(M$13+Sections!$M38)</f>
        <v>0.85384164154578546</v>
      </c>
      <c r="N70" s="29">
        <f>Sections!$O38*N$13+Sections!$N38-Sections!$L38/(N$13+Sections!$M38)</f>
        <v>0.91363340942160143</v>
      </c>
      <c r="O70" s="29">
        <f>Sections!$O38*O$13+Sections!$N38-Sections!$L38/(O$13+Sections!$M38)</f>
        <v>0.95487959417020707</v>
      </c>
      <c r="P70" s="29">
        <f>Sections!$O38*P$13+Sections!$N38-Sections!$L38/(P$13+Sections!$M38)</f>
        <v>0.98128004796488821</v>
      </c>
      <c r="Q70" s="29">
        <f>Sections!$O38*Q$13+Sections!$N38-Sections!$L38/(Q$13+Sections!$M38)</f>
        <v>0.99561182620625144</v>
      </c>
      <c r="R70" s="29">
        <v>1</v>
      </c>
      <c r="S70" s="29">
        <f>Sections!$O38*S$13+Sections!$N38-Sections!$L38/(S$13+Sections!$M38)</f>
        <v>0.99609838578212995</v>
      </c>
      <c r="T70" s="29">
        <f>Sections!$O38*T$13+Sections!$N38-Sections!$L38/(T$13+Sections!$M38)</f>
        <v>0.98521331503191889</v>
      </c>
      <c r="U70" s="36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34"/>
      <c r="AN70" s="29"/>
      <c r="AO70" s="231"/>
      <c r="AR70" s="29"/>
      <c r="AS70" s="29"/>
      <c r="AT70" s="29"/>
      <c r="AV70" s="38"/>
      <c r="AW70" s="38"/>
      <c r="AX70" s="38"/>
      <c r="AY70" s="38"/>
    </row>
    <row r="71" spans="1:51" x14ac:dyDescent="0.2">
      <c r="C71" s="29">
        <f>IF(Sections!$B38&lt;0.72,C69,C70)</f>
        <v>0</v>
      </c>
      <c r="D71" s="29">
        <f>IF(Sections!$B38&lt;0.72,D69,D70)</f>
        <v>3.363158316816417E-2</v>
      </c>
      <c r="E71" s="29">
        <f>IF(Sections!$B38&lt;0.72,E69,E70)</f>
        <v>9.7569190919032156E-2</v>
      </c>
      <c r="F71" s="29">
        <f>IF(Sections!$B38&lt;0.72,F69,F70)</f>
        <v>0.15736685274599393</v>
      </c>
      <c r="G71" s="29">
        <f>IF(Sections!$B38&lt;0.72,G69,G70)</f>
        <v>0.21334559588829638</v>
      </c>
      <c r="H71" s="29">
        <f>IF(Sections!$B38&lt;0.72,H69,H70)</f>
        <v>0.29077685154240074</v>
      </c>
      <c r="I71" s="29">
        <f>IF(Sections!$B38&lt;0.72,I69,I70)</f>
        <v>0.40443907726755057</v>
      </c>
      <c r="J71" s="29">
        <f>IF(Sections!$B38&lt;0.72,J69,J70)</f>
        <v>0.50163114681254894</v>
      </c>
      <c r="K71" s="29">
        <f>IF(Sections!$B38&lt;0.72,K69,K70)</f>
        <v>0.65644993272780283</v>
      </c>
      <c r="L71" s="29">
        <f>IF(Sections!$B38&lt;0.72,L69,L70)</f>
        <v>0.77046361588951728</v>
      </c>
      <c r="M71" s="29">
        <f>IF(Sections!$B38&lt;0.72,M69,M70)</f>
        <v>0.85384164154578546</v>
      </c>
      <c r="N71" s="29">
        <f>IF(Sections!$B38&lt;0.72,N69,N70)</f>
        <v>0.91363340942160143</v>
      </c>
      <c r="O71" s="29">
        <f>IF(Sections!$B38&lt;0.72,O69,O70)</f>
        <v>0.95487959417020707</v>
      </c>
      <c r="P71" s="29">
        <f>IF(Sections!$B38&lt;0.72,P69,P70)</f>
        <v>0.98128004796488821</v>
      </c>
      <c r="Q71" s="29">
        <f>IF(Sections!$B38&lt;0.72,Q69,Q70)</f>
        <v>0.99561182620625144</v>
      </c>
      <c r="R71" s="29">
        <v>1</v>
      </c>
      <c r="S71" s="29">
        <f>IF(Sections!$B38&lt;0.72,S69,S70)</f>
        <v>0.99609838578212995</v>
      </c>
      <c r="T71" s="29">
        <f>IF(Sections!$B38&lt;0.72,T69,T70)</f>
        <v>0.98521331503191889</v>
      </c>
      <c r="U71" s="29"/>
      <c r="V71" s="29">
        <f>C71*Sections!$Q38</f>
        <v>0</v>
      </c>
      <c r="W71" s="29">
        <f>D71*Sections!$Q38</f>
        <v>0.23147072826309903</v>
      </c>
      <c r="X71" s="29">
        <f>E71*Sections!$Q38</f>
        <v>0.67152389363127696</v>
      </c>
      <c r="Y71" s="29">
        <f>F71*Sections!$Q38</f>
        <v>1.0830837141222645</v>
      </c>
      <c r="Z71" s="29">
        <f>G71*Sections!$Q38</f>
        <v>1.4683596726643315</v>
      </c>
      <c r="AA71" s="29">
        <f>H71*Sections!$Q38</f>
        <v>2.0012834142248481</v>
      </c>
      <c r="AB71" s="29">
        <f>I71*Sections!$Q38</f>
        <v>2.7835682692985122</v>
      </c>
      <c r="AC71" s="29">
        <f>J71*Sections!$Q38</f>
        <v>3.4524966098553262</v>
      </c>
      <c r="AD71" s="29">
        <f>K71*Sections!$Q38</f>
        <v>4.5180431511949317</v>
      </c>
      <c r="AE71" s="29">
        <f>L71*Sections!$Q38</f>
        <v>5.3027469262578313</v>
      </c>
      <c r="AF71" s="29">
        <f>M71*Sections!$Q38</f>
        <v>5.876599552323464</v>
      </c>
      <c r="AG71" s="29">
        <f>N71*Sections!$Q38</f>
        <v>6.288118807457856</v>
      </c>
      <c r="AH71" s="29">
        <f>O71*Sections!$Q38</f>
        <v>6.5719973383642332</v>
      </c>
      <c r="AI71" s="29">
        <f>P71*Sections!$Q38</f>
        <v>6.7536995269223912</v>
      </c>
      <c r="AJ71" s="29">
        <f>Q71*Sections!$Q38</f>
        <v>6.8523385689872871</v>
      </c>
      <c r="AK71" s="29">
        <f>R71*Sections!$Q38</f>
        <v>6.8825403521952069</v>
      </c>
      <c r="AL71" s="29">
        <f>(2*AO71+2*AK71-4*AM71)*0.25^2+(4*AM71-3*AK71-AO71)*0.25+AK71</f>
        <v>6.7643808102871965</v>
      </c>
      <c r="AM71" s="234">
        <f>_xll.Spline('Mid Upr WL Opt1 Calcs'!$O$24:$O$44,'Cxx Selected'!$I$77:$I$97,Sections!A38,TRUE)</f>
        <v>6.7538348463499638</v>
      </c>
      <c r="AN71" s="29">
        <f>(2*AO71+2*AK71-4*AM71)*0.75^2+(4*AM71-3*AK71-AO71)*0.75+AK71</f>
        <v>6.8509024603835087</v>
      </c>
      <c r="AO71" s="231">
        <f>_xll.Spline('CWD Opt1 Calcs'!$J$26:$J$46,'Cxx Selected'!$I$52:$I$72,Sections!A38,TRUE)</f>
        <v>7.0555836523878313</v>
      </c>
      <c r="AR71" s="29"/>
      <c r="AS71" s="29"/>
      <c r="AT71" s="29"/>
      <c r="AV71" s="38"/>
      <c r="AW71" s="38"/>
      <c r="AX71" s="36">
        <f>AK71-AS68*AK68</f>
        <v>7.6663762131016027</v>
      </c>
      <c r="AY71" s="38">
        <v>0</v>
      </c>
    </row>
    <row r="72" spans="1:51" x14ac:dyDescent="0.2"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>
        <f t="shared" ref="V72:AO72" si="18">-V71</f>
        <v>0</v>
      </c>
      <c r="W72" s="29">
        <f t="shared" si="18"/>
        <v>-0.23147072826309903</v>
      </c>
      <c r="X72" s="29">
        <f t="shared" si="18"/>
        <v>-0.67152389363127696</v>
      </c>
      <c r="Y72" s="29">
        <f t="shared" si="18"/>
        <v>-1.0830837141222645</v>
      </c>
      <c r="Z72" s="29">
        <f t="shared" si="18"/>
        <v>-1.4683596726643315</v>
      </c>
      <c r="AA72" s="29">
        <f t="shared" si="18"/>
        <v>-2.0012834142248481</v>
      </c>
      <c r="AB72" s="29">
        <f t="shared" si="18"/>
        <v>-2.7835682692985122</v>
      </c>
      <c r="AC72" s="29">
        <f t="shared" si="18"/>
        <v>-3.4524966098553262</v>
      </c>
      <c r="AD72" s="29">
        <f t="shared" si="18"/>
        <v>-4.5180431511949317</v>
      </c>
      <c r="AE72" s="29">
        <f t="shared" si="18"/>
        <v>-5.3027469262578313</v>
      </c>
      <c r="AF72" s="29">
        <f t="shared" si="18"/>
        <v>-5.876599552323464</v>
      </c>
      <c r="AG72" s="29">
        <f t="shared" si="18"/>
        <v>-6.288118807457856</v>
      </c>
      <c r="AH72" s="29">
        <f t="shared" si="18"/>
        <v>-6.5719973383642332</v>
      </c>
      <c r="AI72" s="29">
        <f t="shared" si="18"/>
        <v>-6.7536995269223912</v>
      </c>
      <c r="AJ72" s="29">
        <f t="shared" si="18"/>
        <v>-6.8523385689872871</v>
      </c>
      <c r="AK72" s="29">
        <f t="shared" si="18"/>
        <v>-6.8825403521952069</v>
      </c>
      <c r="AL72" s="29">
        <f>(2*AO72+2*AK72-4*AM72)*0.25^2+(4*AM72-3*AK72-AO72)*0.25+AK72</f>
        <v>-6.7643808102871965</v>
      </c>
      <c r="AM72" s="234">
        <f t="shared" si="18"/>
        <v>-6.7538348463499638</v>
      </c>
      <c r="AN72" s="29">
        <f>(2*AO72+2*AK72-4*AM72)*0.75^2+(4*AM72-3*AK72-AO72)*0.75+AK72</f>
        <v>-6.8509024603835087</v>
      </c>
      <c r="AO72" s="231">
        <f t="shared" si="18"/>
        <v>-7.0555836523878313</v>
      </c>
      <c r="AR72" s="29"/>
      <c r="AS72" s="29"/>
      <c r="AT72" s="29"/>
      <c r="AV72" s="38"/>
      <c r="AW72" s="38"/>
      <c r="AX72" s="36">
        <f>AK71</f>
        <v>6.8825403521952069</v>
      </c>
      <c r="AY72" s="36">
        <f>AK68</f>
        <v>4.8514589937413639</v>
      </c>
    </row>
    <row r="73" spans="1:51" x14ac:dyDescent="0.2"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34"/>
      <c r="AN73" s="29"/>
      <c r="AO73" s="231"/>
      <c r="AR73" s="29"/>
      <c r="AS73" s="29"/>
      <c r="AT73" s="29"/>
    </row>
    <row r="74" spans="1:51" x14ac:dyDescent="0.2"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>
        <f>C$26*Sections!$R39+($C$1-Sections!$R39)</f>
        <v>1.1197446890085949E-2</v>
      </c>
      <c r="W74" s="29">
        <f>D$26*Sections!$R39+($C$1-Sections!$R39)</f>
        <v>5.9600062358598729E-2</v>
      </c>
      <c r="X74" s="29">
        <f>E$26*Sections!$R39+($C$1-Sections!$R39)</f>
        <v>0.15640529329562428</v>
      </c>
      <c r="Y74" s="29">
        <f>F$26*Sections!$R39+($C$1-Sections!$R39)</f>
        <v>0.25321052423264989</v>
      </c>
      <c r="Z74" s="29">
        <f>G$26*Sections!$R39+($C$1-Sections!$R39)</f>
        <v>0.35001575516967542</v>
      </c>
      <c r="AA74" s="29">
        <f>H$26*Sections!$R39+($C$1-Sections!$R39)</f>
        <v>0.49522360157521378</v>
      </c>
      <c r="AB74" s="29">
        <f>I$26*Sections!$R39+($C$1-Sections!$R39)</f>
        <v>0.73723667891777767</v>
      </c>
      <c r="AC74" s="29">
        <f>J$26*Sections!$R39+($C$1-Sections!$R39)</f>
        <v>0.97924975626034161</v>
      </c>
      <c r="AD74" s="29">
        <f>K$26*Sections!$R39+($C$1-Sections!$R39)</f>
        <v>1.4632759109454694</v>
      </c>
      <c r="AE74" s="29">
        <f>L$26*Sections!$R39+($C$1-Sections!$R39)</f>
        <v>1.9473020656305973</v>
      </c>
      <c r="AF74" s="29">
        <f>M$26*Sections!$R39+($C$1-Sections!$R39)</f>
        <v>2.4313282203157249</v>
      </c>
      <c r="AG74" s="29">
        <f>N$26*Sections!$R39+($C$1-Sections!$R39)</f>
        <v>2.9153543750008528</v>
      </c>
      <c r="AH74" s="29">
        <f>O$26*Sections!$R39+($C$1-Sections!$R39)</f>
        <v>3.3993805296859803</v>
      </c>
      <c r="AI74" s="29">
        <f>P$26*Sections!$R39+($C$1-Sections!$R39)</f>
        <v>3.8834066843711086</v>
      </c>
      <c r="AJ74" s="29">
        <f>Q$26*Sections!$R39+($C$1-Sections!$R39)</f>
        <v>4.367432839056236</v>
      </c>
      <c r="AK74" s="29">
        <f>R$26*Sections!$R39+($C$1-Sections!$R39)</f>
        <v>4.8514589937413639</v>
      </c>
      <c r="AL74" s="29">
        <f>(AM74+AK74)/2</f>
        <v>5.9035327691977448</v>
      </c>
      <c r="AM74" s="234">
        <f>(AO74+AK74)/2</f>
        <v>6.9556065446541258</v>
      </c>
      <c r="AN74" s="29">
        <f>(AO74+AM74)/2</f>
        <v>8.0076803201105058</v>
      </c>
      <c r="AO74" s="231">
        <f>(_xll.Spline('Profile Calcs'!$G$45:$G$65,'Profile Calcs'!$H$45:$H$65,Sections!A39,TRUE))</f>
        <v>9.0597540955668876</v>
      </c>
      <c r="AR74" s="29">
        <f>-(-4*AM77+3*AK77+AO77)*(AO74-AK74)*Sections!R39/Sections!Q39</f>
        <v>-1.6734287152782561</v>
      </c>
      <c r="AS74" s="29">
        <f>-(-4*AM77+3*AK77+AO77)/(AO74-AK74)</f>
        <v>-0.13748966870047316</v>
      </c>
      <c r="AT74" s="29">
        <f>DEGREES(ATAN((AM77-AK77)/(AM74-AK74)))</f>
        <v>-3.2835618973738931</v>
      </c>
      <c r="AU74" s="28">
        <f>((AX78-AX77)/AX78)/(AY78/Sections!$R$39)</f>
        <v>-9.4491957029707807E-2</v>
      </c>
      <c r="AV74" s="29">
        <f>AL74/COS(AT74*PI()/180)</f>
        <v>5.9132405919265603</v>
      </c>
      <c r="AW74" s="28">
        <f>AV74*SIN(AT74*PI()/180)</f>
        <v>-0.33869623708624846</v>
      </c>
      <c r="AX74" s="29">
        <f>AL77-AW74</f>
        <v>7.2789707726612107</v>
      </c>
      <c r="AY74" s="28">
        <v>0</v>
      </c>
    </row>
    <row r="75" spans="1:51" x14ac:dyDescent="0.2">
      <c r="A75" s="28">
        <v>12</v>
      </c>
      <c r="B75" s="28" t="s">
        <v>104</v>
      </c>
      <c r="C75" s="29">
        <f>W$3+W$4*Sections!$F39+W$5*Sections!$G39+W$6*Sections!$H39</f>
        <v>0</v>
      </c>
      <c r="D75" s="29">
        <f>X$3+X$4*Sections!$F39+X$5*Sections!$G39+X$6*Sections!$H39</f>
        <v>4.1364175706136985E-2</v>
      </c>
      <c r="E75" s="29">
        <f>Y$3+Y$4*Sections!$F39+Y$5*Sections!$G39+Y$6*Sections!$H39</f>
        <v>0.11959734300796421</v>
      </c>
      <c r="F75" s="29">
        <f>Z$3+Z$4*Sections!$F39+Z$5*Sections!$G39+Z$6*Sections!$H39</f>
        <v>0.19210406960913678</v>
      </c>
      <c r="G75" s="29">
        <f>AA$3+AA$4*Sections!$F39+AA$5*Sections!$G39+AA$6*Sections!$H39</f>
        <v>0.25919706645057605</v>
      </c>
      <c r="H75" s="29">
        <f>AB$3+AB$4*Sections!$F39+AB$5*Sections!$G39+AB$6*Sections!$H39</f>
        <v>0.35034778198554012</v>
      </c>
      <c r="I75" s="29">
        <f>AC$3+AC$4*Sections!$F39+AC$5*Sections!$G39+AC$6*Sections!$H39</f>
        <v>0.47937178323710572</v>
      </c>
      <c r="J75" s="29">
        <f>AD$3+AD$4*Sections!$F39+AD$5*Sections!$G39+AD$6*Sections!$H39</f>
        <v>0.58346605898030268</v>
      </c>
      <c r="K75" s="29">
        <f>AE$3+AE$4*Sections!$F39+AE$5*Sections!$G39+AE$6*Sections!$H39</f>
        <v>0.73227207395032834</v>
      </c>
      <c r="L75" s="29">
        <f>AF$3+AF$4*Sections!$F39+AF$5*Sections!$G39+AF$6*Sections!$H39</f>
        <v>0.82407250199882331</v>
      </c>
      <c r="M75" s="29">
        <f>AG$3+AG$4*Sections!$F39+AG$5*Sections!$G39+AG$6*Sections!$H39</f>
        <v>0.88056345036615857</v>
      </c>
      <c r="N75" s="29">
        <f>AH$3+AH$4*Sections!$F39+AH$5*Sections!$G39+AH$6*Sections!$H39</f>
        <v>0.91783045842987065</v>
      </c>
      <c r="O75" s="29">
        <f>AI$3+AI$4*Sections!$F39+AI$5*Sections!$G39+AI$6*Sections!$H39</f>
        <v>0.94634849770466078</v>
      </c>
      <c r="P75" s="29">
        <f>AJ$3+AJ$4*Sections!$F39+AJ$5*Sections!$G39+AJ$6*Sections!$H39</f>
        <v>0.97098197184239698</v>
      </c>
      <c r="Q75" s="29">
        <f>AK$3+AK$4*Sections!$F39+AK$5*Sections!$G39+AK$6*Sections!$H39</f>
        <v>0.99098471663210574</v>
      </c>
      <c r="R75" s="29">
        <v>1</v>
      </c>
      <c r="S75" s="29">
        <f>AM$3+AM$4*Sections!$F39+AM$5*Sections!$G39+AM$6*Sections!$H39</f>
        <v>0.98606052200942618</v>
      </c>
      <c r="T75" s="29">
        <f>AN$3+AN$4*Sections!$F39+AN$5*Sections!$G39+AN$6*Sections!$H39</f>
        <v>0.93158841486092636</v>
      </c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34"/>
      <c r="AN75" s="29"/>
      <c r="AO75" s="231"/>
      <c r="AR75" s="29"/>
      <c r="AS75" s="29"/>
      <c r="AT75" s="29"/>
      <c r="AX75" s="29">
        <f>AL77</f>
        <v>6.9402745355749627</v>
      </c>
      <c r="AY75" s="29">
        <f>AL74</f>
        <v>5.9035327691977448</v>
      </c>
    </row>
    <row r="76" spans="1:51" x14ac:dyDescent="0.2">
      <c r="B76" s="28" t="s">
        <v>103</v>
      </c>
      <c r="C76" s="29">
        <f>Sections!$O39*C$13+Sections!$N39-Sections!$L39/(C$13+Sections!$M39)</f>
        <v>0</v>
      </c>
      <c r="D76" s="29">
        <f>Sections!$O39*D$13+Sections!$N39-Sections!$L39/(D$13+Sections!$M39)</f>
        <v>4.2133759076865118E-2</v>
      </c>
      <c r="E76" s="29">
        <f>Sections!$O39*E$13+Sections!$N39-Sections!$L39/(E$13+Sections!$M39)</f>
        <v>0.12035436404558197</v>
      </c>
      <c r="F76" s="29">
        <f>Sections!$O39*F$13+Sections!$N39-Sections!$L39/(F$13+Sections!$M39)</f>
        <v>0.19135084157849591</v>
      </c>
      <c r="G76" s="29">
        <f>Sections!$O39*G$13+Sections!$N39-Sections!$L39/(G$13+Sections!$M39)</f>
        <v>0.25598867424664307</v>
      </c>
      <c r="H76" s="29">
        <f>Sections!$O39*H$13+Sections!$N39-Sections!$L39/(H$13+Sections!$M39)</f>
        <v>0.34259520744348682</v>
      </c>
      <c r="I76" s="29">
        <f>Sections!$O39*I$13+Sections!$N39-Sections!$L39/(I$13+Sections!$M39)</f>
        <v>0.4640908870479119</v>
      </c>
      <c r="J76" s="29">
        <f>Sections!$O39*J$13+Sections!$N39-Sections!$L39/(J$13+Sections!$M39)</f>
        <v>0.56291173695577568</v>
      </c>
      <c r="K76" s="29">
        <f>Sections!$O39*K$13+Sections!$N39-Sections!$L39/(K$13+Sections!$M39)</f>
        <v>0.71114498111487112</v>
      </c>
      <c r="L76" s="29">
        <f>Sections!$O39*L$13+Sections!$N39-Sections!$L39/(L$13+Sections!$M39)</f>
        <v>0.81332354528102102</v>
      </c>
      <c r="M76" s="29">
        <f>Sections!$O39*M$13+Sections!$N39-Sections!$L39/(M$13+Sections!$M39)</f>
        <v>0.88429075168151572</v>
      </c>
      <c r="N76" s="29">
        <f>Sections!$O39*N$13+Sections!$N39-Sections!$L39/(N$13+Sections!$M39)</f>
        <v>0.93313008951165455</v>
      </c>
      <c r="O76" s="29">
        <f>Sections!$O39*O$13+Sections!$N39-Sections!$L39/(O$13+Sections!$M39)</f>
        <v>0.96571197421540689</v>
      </c>
      <c r="P76" s="29">
        <f>Sections!$O39*P$13+Sections!$N39-Sections!$L39/(P$13+Sections!$M39)</f>
        <v>0.98599900894151493</v>
      </c>
      <c r="Q76" s="29">
        <f>Sections!$O39*Q$13+Sections!$N39-Sections!$L39/(Q$13+Sections!$M39)</f>
        <v>0.99676276736137093</v>
      </c>
      <c r="R76" s="29">
        <v>1</v>
      </c>
      <c r="S76" s="29">
        <f>Sections!$O39*S$13+Sections!$N39-Sections!$L39/(S$13+Sections!$M39)</f>
        <v>0.9971857094169384</v>
      </c>
      <c r="T76" s="29">
        <f>Sections!$O39*T$13+Sections!$N39-Sections!$L39/(T$13+Sections!$M39)</f>
        <v>0.9894331154992515</v>
      </c>
      <c r="U76" s="36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34"/>
      <c r="AN76" s="29"/>
      <c r="AO76" s="231"/>
      <c r="AR76" s="29"/>
      <c r="AS76" s="29"/>
      <c r="AT76" s="29"/>
      <c r="AV76" s="38"/>
      <c r="AW76" s="38"/>
      <c r="AX76" s="38"/>
      <c r="AY76" s="38"/>
    </row>
    <row r="77" spans="1:51" x14ac:dyDescent="0.2">
      <c r="C77" s="29">
        <f>IF(Sections!$B39&lt;0.72,C75,C76)</f>
        <v>0</v>
      </c>
      <c r="D77" s="29">
        <f>IF(Sections!$B39&lt;0.72,D75,D76)</f>
        <v>4.2133759076865118E-2</v>
      </c>
      <c r="E77" s="29">
        <f>IF(Sections!$B39&lt;0.72,E75,E76)</f>
        <v>0.12035436404558197</v>
      </c>
      <c r="F77" s="29">
        <f>IF(Sections!$B39&lt;0.72,F75,F76)</f>
        <v>0.19135084157849591</v>
      </c>
      <c r="G77" s="29">
        <f>IF(Sections!$B39&lt;0.72,G75,G76)</f>
        <v>0.25598867424664307</v>
      </c>
      <c r="H77" s="29">
        <f>IF(Sections!$B39&lt;0.72,H75,H76)</f>
        <v>0.34259520744348682</v>
      </c>
      <c r="I77" s="29">
        <f>IF(Sections!$B39&lt;0.72,I75,I76)</f>
        <v>0.4640908870479119</v>
      </c>
      <c r="J77" s="29">
        <f>IF(Sections!$B39&lt;0.72,J75,J76)</f>
        <v>0.56291173695577568</v>
      </c>
      <c r="K77" s="29">
        <f>IF(Sections!$B39&lt;0.72,K75,K76)</f>
        <v>0.71114498111487112</v>
      </c>
      <c r="L77" s="29">
        <f>IF(Sections!$B39&lt;0.72,L75,L76)</f>
        <v>0.81332354528102102</v>
      </c>
      <c r="M77" s="29">
        <f>IF(Sections!$B39&lt;0.72,M75,M76)</f>
        <v>0.88429075168151572</v>
      </c>
      <c r="N77" s="29">
        <f>IF(Sections!$B39&lt;0.72,N75,N76)</f>
        <v>0.93313008951165455</v>
      </c>
      <c r="O77" s="29">
        <f>IF(Sections!$B39&lt;0.72,O75,O76)</f>
        <v>0.96571197421540689</v>
      </c>
      <c r="P77" s="29">
        <f>IF(Sections!$B39&lt;0.72,P75,P76)</f>
        <v>0.98599900894151493</v>
      </c>
      <c r="Q77" s="29">
        <f>IF(Sections!$B39&lt;0.72,Q75,Q76)</f>
        <v>0.99676276736137093</v>
      </c>
      <c r="R77" s="29">
        <v>1</v>
      </c>
      <c r="S77" s="29">
        <f>IF(Sections!$B39&lt;0.72,S75,S76)</f>
        <v>0.9971857094169384</v>
      </c>
      <c r="T77" s="29">
        <f>IF(Sections!$B39&lt;0.72,T75,T76)</f>
        <v>0.9894331154992515</v>
      </c>
      <c r="U77" s="29"/>
      <c r="V77" s="29">
        <f>C77*Sections!$Q39</f>
        <v>0</v>
      </c>
      <c r="W77" s="29">
        <f>D77*Sections!$Q39</f>
        <v>0.29673874731372168</v>
      </c>
      <c r="X77" s="29">
        <f>E77*Sections!$Q39</f>
        <v>0.84762916965164448</v>
      </c>
      <c r="Y77" s="29">
        <f>F77*Sections!$Q39</f>
        <v>1.3476416600722154</v>
      </c>
      <c r="Z77" s="29">
        <f>G77*Sections!$Q39</f>
        <v>1.8028716209221038</v>
      </c>
      <c r="AA77" s="29">
        <f>H77*Sections!$Q39</f>
        <v>2.412822281225917</v>
      </c>
      <c r="AB77" s="29">
        <f>I77*Sections!$Q39</f>
        <v>3.268489483956996</v>
      </c>
      <c r="AC77" s="29">
        <f>J77*Sections!$Q39</f>
        <v>3.9644628756650735</v>
      </c>
      <c r="AD77" s="29">
        <f>K77*Sections!$Q39</f>
        <v>5.0084368325525626</v>
      </c>
      <c r="AE77" s="29">
        <f>L77*Sections!$Q39</f>
        <v>5.7280578632245298</v>
      </c>
      <c r="AF77" s="29">
        <f>M77*Sections!$Q39</f>
        <v>6.2278642035327723</v>
      </c>
      <c r="AG77" s="29">
        <f>N77*Sections!$Q39</f>
        <v>6.5718288590696341</v>
      </c>
      <c r="AH77" s="29">
        <f>O77*Sections!$Q39</f>
        <v>6.8012958675668722</v>
      </c>
      <c r="AI77" s="29">
        <f>P77*Sections!$Q39</f>
        <v>6.9441729666729124</v>
      </c>
      <c r="AJ77" s="29">
        <f>Q77*Sections!$Q39</f>
        <v>7.0199797368229166</v>
      </c>
      <c r="AK77" s="29">
        <f>R77*Sections!$Q39</f>
        <v>7.0427788503840265</v>
      </c>
      <c r="AL77" s="29">
        <f>(2*AO77+2*AK77-4*AM77)*0.25^2+(4*AM77-3*AK77-AO77)*0.25+AK77</f>
        <v>6.9402745355749627</v>
      </c>
      <c r="AM77" s="234">
        <f>_xll.Spline('Mid Upr WL Opt1 Calcs'!$O$24:$O$44,'Cxx Selected'!$I$77:$I$97,Sections!A39,TRUE)</f>
        <v>6.9220601408196778</v>
      </c>
      <c r="AN77" s="29">
        <f>(2*AO77+2*AK77-4*AM77)*0.75^2+(4*AM77-3*AK77-AO77)*0.75+AK77</f>
        <v>6.9881356661181702</v>
      </c>
      <c r="AO77" s="231">
        <f>_xll.Spline('CWD Opt1 Calcs'!$J$26:$J$46,'Cxx Selected'!$I$52:$I$72,Sections!A39,TRUE)</f>
        <v>7.1385011114704451</v>
      </c>
      <c r="AR77" s="29"/>
      <c r="AS77" s="29"/>
      <c r="AT77" s="29"/>
      <c r="AV77" s="38"/>
      <c r="AW77" s="38"/>
      <c r="AX77" s="36">
        <f>AK77-AS74*AK74</f>
        <v>7.7098043401474579</v>
      </c>
      <c r="AY77" s="38">
        <v>0</v>
      </c>
    </row>
    <row r="78" spans="1:51" x14ac:dyDescent="0.2"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>
        <f t="shared" ref="V78:AO78" si="19">-V77</f>
        <v>0</v>
      </c>
      <c r="W78" s="29">
        <f t="shared" si="19"/>
        <v>-0.29673874731372168</v>
      </c>
      <c r="X78" s="29">
        <f t="shared" si="19"/>
        <v>-0.84762916965164448</v>
      </c>
      <c r="Y78" s="29">
        <f t="shared" si="19"/>
        <v>-1.3476416600722154</v>
      </c>
      <c r="Z78" s="29">
        <f t="shared" si="19"/>
        <v>-1.8028716209221038</v>
      </c>
      <c r="AA78" s="29">
        <f t="shared" si="19"/>
        <v>-2.412822281225917</v>
      </c>
      <c r="AB78" s="29">
        <f t="shared" si="19"/>
        <v>-3.268489483956996</v>
      </c>
      <c r="AC78" s="29">
        <f t="shared" si="19"/>
        <v>-3.9644628756650735</v>
      </c>
      <c r="AD78" s="29">
        <f t="shared" si="19"/>
        <v>-5.0084368325525626</v>
      </c>
      <c r="AE78" s="29">
        <f t="shared" si="19"/>
        <v>-5.7280578632245298</v>
      </c>
      <c r="AF78" s="29">
        <f t="shared" si="19"/>
        <v>-6.2278642035327723</v>
      </c>
      <c r="AG78" s="29">
        <f t="shared" si="19"/>
        <v>-6.5718288590696341</v>
      </c>
      <c r="AH78" s="29">
        <f t="shared" si="19"/>
        <v>-6.8012958675668722</v>
      </c>
      <c r="AI78" s="29">
        <f t="shared" si="19"/>
        <v>-6.9441729666729124</v>
      </c>
      <c r="AJ78" s="29">
        <f t="shared" si="19"/>
        <v>-7.0199797368229166</v>
      </c>
      <c r="AK78" s="29">
        <f t="shared" si="19"/>
        <v>-7.0427788503840265</v>
      </c>
      <c r="AL78" s="29">
        <f>(2*AO78+2*AK78-4*AM78)*0.25^2+(4*AM78-3*AK78-AO78)*0.25+AK78</f>
        <v>-6.9402745355749627</v>
      </c>
      <c r="AM78" s="234">
        <f t="shared" si="19"/>
        <v>-6.9220601408196778</v>
      </c>
      <c r="AN78" s="29">
        <f>(2*AO78+2*AK78-4*AM78)*0.75^2+(4*AM78-3*AK78-AO78)*0.75+AK78</f>
        <v>-6.9881356661181702</v>
      </c>
      <c r="AO78" s="231">
        <f t="shared" si="19"/>
        <v>-7.1385011114704451</v>
      </c>
      <c r="AR78" s="29"/>
      <c r="AS78" s="29"/>
      <c r="AT78" s="29"/>
      <c r="AV78" s="38"/>
      <c r="AW78" s="38"/>
      <c r="AX78" s="36">
        <f>AK77</f>
        <v>7.0427788503840265</v>
      </c>
      <c r="AY78" s="36">
        <f>AK74</f>
        <v>4.8514589937413639</v>
      </c>
    </row>
    <row r="79" spans="1:51" x14ac:dyDescent="0.2"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34"/>
      <c r="AN79" s="29"/>
      <c r="AO79" s="231"/>
      <c r="AR79" s="29"/>
      <c r="AS79" s="29"/>
      <c r="AT79" s="29"/>
    </row>
    <row r="80" spans="1:51" x14ac:dyDescent="0.2"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>
        <f>C$26*Sections!$R40+($C$1-Sections!$R40)</f>
        <v>0</v>
      </c>
      <c r="W80" s="29">
        <f>D$26*Sections!$R40+($C$1-Sections!$R40)</f>
        <v>4.8514589937413644E-2</v>
      </c>
      <c r="X80" s="29">
        <f>E$26*Sections!$R40+($C$1-Sections!$R40)</f>
        <v>0.1455437698122409</v>
      </c>
      <c r="Y80" s="29">
        <f>F$26*Sections!$R40+($C$1-Sections!$R40)</f>
        <v>0.24257294968706822</v>
      </c>
      <c r="Z80" s="29">
        <f>G$26*Sections!$R40+($C$1-Sections!$R40)</f>
        <v>0.3396021295618955</v>
      </c>
      <c r="AA80" s="29">
        <f>H$26*Sections!$R40+($C$1-Sections!$R40)</f>
        <v>0.48514589937413644</v>
      </c>
      <c r="AB80" s="29">
        <f>I$26*Sections!$R40+($C$1-Sections!$R40)</f>
        <v>0.72771884906120454</v>
      </c>
      <c r="AC80" s="29">
        <f>J$26*Sections!$R40+($C$1-Sections!$R40)</f>
        <v>0.97029179874827287</v>
      </c>
      <c r="AD80" s="29">
        <f>K$26*Sections!$R40+($C$1-Sections!$R40)</f>
        <v>1.4554376981224091</v>
      </c>
      <c r="AE80" s="29">
        <f>L$26*Sections!$R40+($C$1-Sections!$R40)</f>
        <v>1.9405835974965457</v>
      </c>
      <c r="AF80" s="29">
        <f>M$26*Sections!$R40+($C$1-Sections!$R40)</f>
        <v>2.425729496870682</v>
      </c>
      <c r="AG80" s="29">
        <f>N$26*Sections!$R40+($C$1-Sections!$R40)</f>
        <v>2.9108753962448182</v>
      </c>
      <c r="AH80" s="29">
        <f>O$26*Sections!$R40+($C$1-Sections!$R40)</f>
        <v>3.3960212956189544</v>
      </c>
      <c r="AI80" s="29">
        <f>P$26*Sections!$R40+($C$1-Sections!$R40)</f>
        <v>3.8811671949930915</v>
      </c>
      <c r="AJ80" s="29">
        <f>Q$26*Sections!$R40+($C$1-Sections!$R40)</f>
        <v>4.3663130943672277</v>
      </c>
      <c r="AK80" s="29">
        <f>R$26*Sections!$R40+($C$1-Sections!$R40)</f>
        <v>4.8514589937413639</v>
      </c>
      <c r="AL80" s="29">
        <f>(AM80+AK80)/2</f>
        <v>5.8911876791823943</v>
      </c>
      <c r="AM80" s="234">
        <f>(AO80+AK80)/2</f>
        <v>6.9309163646234246</v>
      </c>
      <c r="AN80" s="29">
        <f>(AO80+AM80)/2</f>
        <v>7.970645050064455</v>
      </c>
      <c r="AO80" s="231">
        <f>(_xll.Spline('Profile Calcs'!$G$45:$G$65,'Profile Calcs'!$H$45:$H$65,Sections!A40,TRUE))</f>
        <v>9.0103737355054854</v>
      </c>
      <c r="AR80" s="29">
        <f>-(-4*AM83+3*AK83+AO83)*(AO80-AK80)*Sections!R40/Sections!Q40</f>
        <v>-0.79284245206682691</v>
      </c>
      <c r="AS80" s="29">
        <f>-(-4*AM83+3*AK83+AO83)/(AO80-AK80)</f>
        <v>-6.7077258796462452E-2</v>
      </c>
      <c r="AT80" s="29">
        <f>DEGREES(ATAN((AM83-AK83)/(AM80-AK80)))</f>
        <v>-1.5341878886958673</v>
      </c>
      <c r="AU80" s="28">
        <f>((AX84-AX83)/AX84)/(AY84/Sections!$R$40)</f>
        <v>-4.5838126762522316E-2</v>
      </c>
      <c r="AV80" s="29">
        <f>AL80/COS(AT80*PI()/180)</f>
        <v>5.8933002654857001</v>
      </c>
      <c r="AW80" s="28">
        <f>AV80*SIN(AT80*PI()/180)</f>
        <v>-0.15778386426812313</v>
      </c>
      <c r="AX80" s="29">
        <f>AL83-AW80</f>
        <v>7.2083755747638003</v>
      </c>
      <c r="AY80" s="28">
        <v>0</v>
      </c>
    </row>
    <row r="81" spans="1:51" x14ac:dyDescent="0.2">
      <c r="A81" s="28">
        <v>11</v>
      </c>
      <c r="B81" s="28" t="s">
        <v>104</v>
      </c>
      <c r="C81" s="29">
        <f>W$3+W$4*Sections!$F40+W$5*Sections!$G40+W$6*Sections!$H40</f>
        <v>0</v>
      </c>
      <c r="D81" s="29">
        <f>X$3+X$4*Sections!$F40+X$5*Sections!$G40+X$6*Sections!$H40</f>
        <v>5.2775484192281924E-2</v>
      </c>
      <c r="E81" s="29">
        <f>Y$3+Y$4*Sections!$F40+Y$5*Sections!$G40+Y$6*Sections!$H40</f>
        <v>0.15127332012560593</v>
      </c>
      <c r="F81" s="29">
        <f>Z$3+Z$4*Sections!$F40+Z$5*Sections!$G40+Z$6*Sections!$H40</f>
        <v>0.24084240451263197</v>
      </c>
      <c r="G81" s="29">
        <f>AA$3+AA$4*Sections!$F40+AA$5*Sections!$G40+AA$6*Sections!$H40</f>
        <v>0.32203831759680968</v>
      </c>
      <c r="H81" s="29">
        <f>AB$3+AB$4*Sections!$F40+AB$5*Sections!$G40+AB$6*Sections!$H40</f>
        <v>0.42930583268565953</v>
      </c>
      <c r="I81" s="29">
        <f>AC$3+AC$4*Sections!$F40+AC$5*Sections!$G40+AC$6*Sections!$H40</f>
        <v>0.57360466885496453</v>
      </c>
      <c r="J81" s="29">
        <f>AD$3+AD$4*Sections!$F40+AD$5*Sections!$G40+AD$6*Sections!$H40</f>
        <v>0.68128678740211912</v>
      </c>
      <c r="K81" s="29">
        <f>AE$3+AE$4*Sections!$F40+AE$5*Sections!$G40+AE$6*Sections!$H40</f>
        <v>0.81365981938471243</v>
      </c>
      <c r="L81" s="29">
        <f>AF$3+AF$4*Sections!$F40+AF$5*Sections!$G40+AF$6*Sections!$H40</f>
        <v>0.87347772459980733</v>
      </c>
      <c r="M81" s="29">
        <f>AG$3+AG$4*Sections!$F40+AG$5*Sections!$G40+AG$6*Sections!$H40</f>
        <v>0.89712913974480801</v>
      </c>
      <c r="N81" s="29">
        <f>AH$3+AH$4*Sections!$F40+AH$5*Sections!$G40+AH$6*Sections!$H40</f>
        <v>0.91033854224815369</v>
      </c>
      <c r="O81" s="29">
        <f>AI$3+AI$4*Sections!$F40+AI$5*Sections!$G40+AI$6*Sections!$H40</f>
        <v>0.92816625026931754</v>
      </c>
      <c r="P81" s="29">
        <f>AJ$3+AJ$4*Sections!$F40+AJ$5*Sections!$G40+AJ$6*Sections!$H40</f>
        <v>0.95500842269881092</v>
      </c>
      <c r="Q81" s="29">
        <f>AK$3+AK$4*Sections!$F40+AK$5*Sections!$G40+AK$6*Sections!$H40</f>
        <v>0.98459705915817308</v>
      </c>
      <c r="R81" s="29">
        <v>1</v>
      </c>
      <c r="S81" s="29">
        <f>AM$3+AM$4*Sections!$F40+AM$5*Sections!$G40+AM$6*Sections!$H40</f>
        <v>0.97362092630789032</v>
      </c>
      <c r="T81" s="29">
        <f>AN$3+AN$4*Sections!$F40+AN$5*Sections!$G40+AN$6*Sections!$H40</f>
        <v>0.86719935989651042</v>
      </c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34"/>
      <c r="AN81" s="29"/>
      <c r="AO81" s="231"/>
      <c r="AR81" s="29"/>
      <c r="AS81" s="29"/>
      <c r="AT81" s="29"/>
      <c r="AX81" s="29">
        <f>AL83</f>
        <v>7.0505917104956772</v>
      </c>
      <c r="AY81" s="29">
        <f>AL80</f>
        <v>5.8911876791823943</v>
      </c>
    </row>
    <row r="82" spans="1:51" x14ac:dyDescent="0.2">
      <c r="B82" s="28" t="s">
        <v>103</v>
      </c>
      <c r="C82" s="29">
        <f>Sections!$O40*C$13+Sections!$N40-Sections!$L40/(C$13+Sections!$M40)</f>
        <v>0</v>
      </c>
      <c r="D82" s="29">
        <f>Sections!$O40*D$13+Sections!$N40-Sections!$L40/(D$13+Sections!$M40)</f>
        <v>5.3987329656594474E-2</v>
      </c>
      <c r="E82" s="29">
        <f>Sections!$O40*E$13+Sections!$N40-Sections!$L40/(E$13+Sections!$M40)</f>
        <v>0.15088730456454003</v>
      </c>
      <c r="F82" s="29">
        <f>Sections!$O40*F$13+Sections!$N40-Sections!$L40/(F$13+Sections!$M40)</f>
        <v>0.23527524201871852</v>
      </c>
      <c r="G82" s="29">
        <f>Sections!$O40*G$13+Sections!$N40-Sections!$L40/(G$13+Sections!$M40)</f>
        <v>0.30931133100722019</v>
      </c>
      <c r="H82" s="29">
        <f>Sections!$O40*H$13+Sections!$N40-Sections!$L40/(H$13+Sections!$M40)</f>
        <v>0.40455465155279313</v>
      </c>
      <c r="I82" s="29">
        <f>Sections!$O40*I$13+Sections!$N40-Sections!$L40/(I$13+Sections!$M40)</f>
        <v>0.53099324254093871</v>
      </c>
      <c r="J82" s="29">
        <f>Sections!$O40*J$13+Sections!$N40-Sections!$L40/(J$13+Sections!$M40)</f>
        <v>0.62804812566255208</v>
      </c>
      <c r="K82" s="29">
        <f>Sections!$O40*K$13+Sections!$N40-Sections!$L40/(K$13+Sections!$M40)</f>
        <v>0.76453391157029427</v>
      </c>
      <c r="L82" s="29">
        <f>Sections!$O40*L$13+Sections!$N40-Sections!$L40/(L$13+Sections!$M40)</f>
        <v>0.85253790963581377</v>
      </c>
      <c r="M82" s="29">
        <f>Sections!$O40*M$13+Sections!$N40-Sections!$L40/(M$13+Sections!$M40)</f>
        <v>0.91076628892786848</v>
      </c>
      <c r="N82" s="29">
        <f>Sections!$O40*N$13+Sections!$N40-Sections!$L40/(N$13+Sections!$M40)</f>
        <v>0.94939844436461784</v>
      </c>
      <c r="O82" s="29">
        <f>Sections!$O40*O$13+Sections!$N40-Sections!$L40/(O$13+Sections!$M40)</f>
        <v>0.97444840116693709</v>
      </c>
      <c r="P82" s="29">
        <f>Sections!$O40*P$13+Sections!$N40-Sections!$L40/(P$13+Sections!$M40)</f>
        <v>0.98969765404998356</v>
      </c>
      <c r="Q82" s="29">
        <f>Sections!$O40*Q$13+Sections!$N40-Sections!$L40/(Q$13+Sections!$M40)</f>
        <v>0.99764314210731442</v>
      </c>
      <c r="R82" s="29">
        <v>1</v>
      </c>
      <c r="S82" s="29">
        <f>Sections!$O40*S$13+Sections!$N40-Sections!$L40/(S$13+Sections!$M40)</f>
        <v>0.9979853291250238</v>
      </c>
      <c r="T82" s="29">
        <f>Sections!$O40*T$13+Sections!$N40-Sections!$L40/(T$13+Sections!$M40)</f>
        <v>0.99248673380357089</v>
      </c>
      <c r="U82" s="36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34"/>
      <c r="AN82" s="29"/>
      <c r="AO82" s="231"/>
      <c r="AR82" s="29"/>
      <c r="AS82" s="29"/>
      <c r="AT82" s="29"/>
      <c r="AV82" s="38"/>
      <c r="AW82" s="38"/>
      <c r="AX82" s="38"/>
      <c r="AY82" s="38"/>
    </row>
    <row r="83" spans="1:51" x14ac:dyDescent="0.2">
      <c r="C83" s="29">
        <f>IF(Sections!$B40&lt;0.72,C81,C82)</f>
        <v>0</v>
      </c>
      <c r="D83" s="29">
        <f>IF(Sections!$B40&lt;0.72,D81,D82)</f>
        <v>5.3987329656594474E-2</v>
      </c>
      <c r="E83" s="29">
        <f>IF(Sections!$B40&lt;0.72,E81,E82)</f>
        <v>0.15088730456454003</v>
      </c>
      <c r="F83" s="29">
        <f>IF(Sections!$B40&lt;0.72,F81,F82)</f>
        <v>0.23527524201871852</v>
      </c>
      <c r="G83" s="29">
        <f>IF(Sections!$B40&lt;0.72,G81,G82)</f>
        <v>0.30931133100722019</v>
      </c>
      <c r="H83" s="29">
        <f>IF(Sections!$B40&lt;0.72,H81,H82)</f>
        <v>0.40455465155279313</v>
      </c>
      <c r="I83" s="29">
        <f>IF(Sections!$B40&lt;0.72,I81,I82)</f>
        <v>0.53099324254093871</v>
      </c>
      <c r="J83" s="29">
        <f>IF(Sections!$B40&lt;0.72,J81,J82)</f>
        <v>0.62804812566255208</v>
      </c>
      <c r="K83" s="29">
        <f>IF(Sections!$B40&lt;0.72,K81,K82)</f>
        <v>0.76453391157029427</v>
      </c>
      <c r="L83" s="29">
        <f>IF(Sections!$B40&lt;0.72,L81,L82)</f>
        <v>0.85253790963581377</v>
      </c>
      <c r="M83" s="29">
        <f>IF(Sections!$B40&lt;0.72,M81,M82)</f>
        <v>0.91076628892786848</v>
      </c>
      <c r="N83" s="29">
        <f>IF(Sections!$B40&lt;0.72,N81,N82)</f>
        <v>0.94939844436461784</v>
      </c>
      <c r="O83" s="29">
        <f>IF(Sections!$B40&lt;0.72,O81,O82)</f>
        <v>0.97444840116693709</v>
      </c>
      <c r="P83" s="29">
        <f>IF(Sections!$B40&lt;0.72,P81,P82)</f>
        <v>0.98969765404998356</v>
      </c>
      <c r="Q83" s="29">
        <f>IF(Sections!$B40&lt;0.72,Q81,Q82)</f>
        <v>0.99764314210731442</v>
      </c>
      <c r="R83" s="29">
        <v>1</v>
      </c>
      <c r="S83" s="29">
        <f>IF(Sections!$B40&lt;0.72,S81,S82)</f>
        <v>0.9979853291250238</v>
      </c>
      <c r="T83" s="29">
        <f>IF(Sections!$B40&lt;0.72,T81,T82)</f>
        <v>0.99248673380357089</v>
      </c>
      <c r="U83" s="29"/>
      <c r="V83" s="29">
        <f>C83*Sections!$Q40</f>
        <v>0</v>
      </c>
      <c r="W83" s="29">
        <f>D83*Sections!$Q40</f>
        <v>0.38327691007826786</v>
      </c>
      <c r="X83" s="29">
        <f>E83*Sections!$Q40</f>
        <v>1.0712072671753523</v>
      </c>
      <c r="Y83" s="29">
        <f>F83*Sections!$Q40</f>
        <v>1.6703098366310154</v>
      </c>
      <c r="Z83" s="29">
        <f>G83*Sections!$Q40</f>
        <v>2.1959206346143616</v>
      </c>
      <c r="AA83" s="29">
        <f>H83*Sections!$Q40</f>
        <v>2.872089762380106</v>
      </c>
      <c r="AB83" s="29">
        <f>I83*Sections!$Q40</f>
        <v>3.7697261666408775</v>
      </c>
      <c r="AC83" s="29">
        <f>J83*Sections!$Q40</f>
        <v>4.4587562769922533</v>
      </c>
      <c r="AD83" s="29">
        <f>K83*Sections!$Q40</f>
        <v>5.4277215995053592</v>
      </c>
      <c r="AE83" s="29">
        <f>L83*Sections!$Q40</f>
        <v>6.0524959802283389</v>
      </c>
      <c r="AF83" s="29">
        <f>M83*Sections!$Q40</f>
        <v>6.4658817401072417</v>
      </c>
      <c r="AG83" s="29">
        <f>N83*Sections!$Q40</f>
        <v>6.7401463362568315</v>
      </c>
      <c r="AH83" s="29">
        <f>O83*Sections!$Q40</f>
        <v>6.9179856571096687</v>
      </c>
      <c r="AI83" s="29">
        <f>P83*Sections!$Q40</f>
        <v>7.0262459945479785</v>
      </c>
      <c r="AJ83" s="29">
        <f>Q83*Sections!$Q40</f>
        <v>7.0826540838357497</v>
      </c>
      <c r="AK83" s="29">
        <f>R83*Sections!$Q40</f>
        <v>7.0993863285373875</v>
      </c>
      <c r="AL83" s="29">
        <f>(2*AO83+2*AK83-4*AM83)*0.25^2+(4*AM83-3*AK83-AO83)*0.25+AK83</f>
        <v>7.0505917104956772</v>
      </c>
      <c r="AM83" s="234">
        <f>_xll.Spline('Mid Upr WL Opt1 Calcs'!$O$24:$O$44,'Cxx Selected'!$I$77:$I$97,Sections!A40,TRUE)</f>
        <v>7.0436921565934139</v>
      </c>
      <c r="AN83" s="29">
        <f>(2*AO83+2*AK83-4*AM83)*0.75^2+(4*AM83-3*AK83-AO83)*0.75+AK83</f>
        <v>7.0786876668305974</v>
      </c>
      <c r="AO83" s="231">
        <f>_xll.Spline('CWD Opt1 Calcs'!$J$26:$J$46,'Cxx Selected'!$I$52:$I$72,Sections!A40,TRUE)</f>
        <v>7.1555782412072286</v>
      </c>
      <c r="AR83" s="29"/>
      <c r="AS83" s="29"/>
      <c r="AT83" s="29"/>
      <c r="AV83" s="38"/>
      <c r="AW83" s="38"/>
      <c r="AX83" s="36">
        <f>AK83-AS80*AK80</f>
        <v>7.4248088990010022</v>
      </c>
      <c r="AY83" s="38">
        <v>0</v>
      </c>
    </row>
    <row r="84" spans="1:51" x14ac:dyDescent="0.2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>
        <f t="shared" ref="V84:AO84" si="20">-V83</f>
        <v>0</v>
      </c>
      <c r="W84" s="29">
        <f t="shared" si="20"/>
        <v>-0.38327691007826786</v>
      </c>
      <c r="X84" s="29">
        <f t="shared" si="20"/>
        <v>-1.0712072671753523</v>
      </c>
      <c r="Y84" s="29">
        <f t="shared" si="20"/>
        <v>-1.6703098366310154</v>
      </c>
      <c r="Z84" s="29">
        <f t="shared" si="20"/>
        <v>-2.1959206346143616</v>
      </c>
      <c r="AA84" s="29">
        <f t="shared" si="20"/>
        <v>-2.872089762380106</v>
      </c>
      <c r="AB84" s="29">
        <f t="shared" si="20"/>
        <v>-3.7697261666408775</v>
      </c>
      <c r="AC84" s="29">
        <f t="shared" si="20"/>
        <v>-4.4587562769922533</v>
      </c>
      <c r="AD84" s="29">
        <f t="shared" si="20"/>
        <v>-5.4277215995053592</v>
      </c>
      <c r="AE84" s="29">
        <f t="shared" si="20"/>
        <v>-6.0524959802283389</v>
      </c>
      <c r="AF84" s="29">
        <f t="shared" si="20"/>
        <v>-6.4658817401072417</v>
      </c>
      <c r="AG84" s="29">
        <f t="shared" si="20"/>
        <v>-6.7401463362568315</v>
      </c>
      <c r="AH84" s="29">
        <f t="shared" si="20"/>
        <v>-6.9179856571096687</v>
      </c>
      <c r="AI84" s="29">
        <f t="shared" si="20"/>
        <v>-7.0262459945479785</v>
      </c>
      <c r="AJ84" s="29">
        <f t="shared" si="20"/>
        <v>-7.0826540838357497</v>
      </c>
      <c r="AK84" s="29">
        <f t="shared" si="20"/>
        <v>-7.0993863285373875</v>
      </c>
      <c r="AL84" s="29">
        <f>(2*AO84+2*AK84-4*AM84)*0.25^2+(4*AM84-3*AK84-AO84)*0.25+AK84</f>
        <v>-7.0505917104956772</v>
      </c>
      <c r="AM84" s="234">
        <f t="shared" si="20"/>
        <v>-7.0436921565934139</v>
      </c>
      <c r="AN84" s="29">
        <f>(2*AO84+2*AK84-4*AM84)*0.75^2+(4*AM84-3*AK84-AO84)*0.75+AK84</f>
        <v>-7.0786876668305974</v>
      </c>
      <c r="AO84" s="231">
        <f t="shared" si="20"/>
        <v>-7.1555782412072286</v>
      </c>
      <c r="AR84" s="29"/>
      <c r="AS84" s="29"/>
      <c r="AT84" s="29"/>
      <c r="AV84" s="38"/>
      <c r="AW84" s="38"/>
      <c r="AX84" s="36">
        <f>AK83</f>
        <v>7.0993863285373875</v>
      </c>
      <c r="AY84" s="36">
        <f>AK80</f>
        <v>4.8514589937413639</v>
      </c>
    </row>
    <row r="85" spans="1:51" x14ac:dyDescent="0.2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34"/>
      <c r="AN85" s="29"/>
      <c r="AO85" s="231"/>
      <c r="AR85" s="29"/>
      <c r="AS85" s="29"/>
      <c r="AT85" s="29"/>
    </row>
    <row r="86" spans="1:51" x14ac:dyDescent="0.2"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>
        <f>C$26*Sections!$R41+($C$1-Sections!$R41)</f>
        <v>0</v>
      </c>
      <c r="W86" s="29">
        <f>D$26*Sections!$R41+($C$1-Sections!$R41)</f>
        <v>4.8514589937413644E-2</v>
      </c>
      <c r="X86" s="29">
        <f>E$26*Sections!$R41+($C$1-Sections!$R41)</f>
        <v>0.1455437698122409</v>
      </c>
      <c r="Y86" s="29">
        <f>F$26*Sections!$R41+($C$1-Sections!$R41)</f>
        <v>0.24257294968706822</v>
      </c>
      <c r="Z86" s="29">
        <f>G$26*Sections!$R41+($C$1-Sections!$R41)</f>
        <v>0.3396021295618955</v>
      </c>
      <c r="AA86" s="29">
        <f>H$26*Sections!$R41+($C$1-Sections!$R41)</f>
        <v>0.48514589937413644</v>
      </c>
      <c r="AB86" s="29">
        <f>I$26*Sections!$R41+($C$1-Sections!$R41)</f>
        <v>0.72771884906120454</v>
      </c>
      <c r="AC86" s="29">
        <f>J$26*Sections!$R41+($C$1-Sections!$R41)</f>
        <v>0.97029179874827287</v>
      </c>
      <c r="AD86" s="29">
        <f>K$26*Sections!$R41+($C$1-Sections!$R41)</f>
        <v>1.4554376981224091</v>
      </c>
      <c r="AE86" s="29">
        <f>L$26*Sections!$R41+($C$1-Sections!$R41)</f>
        <v>1.9405835974965457</v>
      </c>
      <c r="AF86" s="29">
        <f>M$26*Sections!$R41+($C$1-Sections!$R41)</f>
        <v>2.425729496870682</v>
      </c>
      <c r="AG86" s="29">
        <f>N$26*Sections!$R41+($C$1-Sections!$R41)</f>
        <v>2.9108753962448182</v>
      </c>
      <c r="AH86" s="29">
        <f>O$26*Sections!$R41+($C$1-Sections!$R41)</f>
        <v>3.3960212956189544</v>
      </c>
      <c r="AI86" s="29">
        <f>P$26*Sections!$R41+($C$1-Sections!$R41)</f>
        <v>3.8811671949930915</v>
      </c>
      <c r="AJ86" s="29">
        <f>Q$26*Sections!$R41+($C$1-Sections!$R41)</f>
        <v>4.3663130943672277</v>
      </c>
      <c r="AK86" s="29">
        <f>R$26*Sections!$R41+($C$1-Sections!$R41)</f>
        <v>4.8514589937413639</v>
      </c>
      <c r="AL86" s="29">
        <f>(AM86+AK86)/2</f>
        <v>5.8789014874420875</v>
      </c>
      <c r="AM86" s="234">
        <f>(AO86+AK86)/2</f>
        <v>6.9063439811428102</v>
      </c>
      <c r="AN86" s="29">
        <f>(AO86+AM86)/2</f>
        <v>7.9337864748435329</v>
      </c>
      <c r="AO86" s="231">
        <f>(_xll.Spline('Profile Calcs'!$G$45:$G$65,'Profile Calcs'!$H$45:$H$65,Sections!A41,TRUE))</f>
        <v>8.9612289685442565</v>
      </c>
      <c r="AR86" s="29">
        <f>-(-4*AM89+3*AK89+AO89)*(AO86-AK86)*Sections!R41/Sections!Q41</f>
        <v>0.46784911499048598</v>
      </c>
      <c r="AS86" s="29">
        <f>-(-4*AM89+3*AK89+AO89)/(AO86-AK86)</f>
        <v>4.018979389711709E-2</v>
      </c>
      <c r="AT86" s="29">
        <f>DEGREES(ATAN((AM89-AK89)/(AM86-AK86)))</f>
        <v>1.6521149298970952</v>
      </c>
      <c r="AU86" s="28">
        <f>((AX90-AX89)/AX90)/(AY90/Sections!$R$41)</f>
        <v>2.7699426820722326E-2</v>
      </c>
      <c r="AV86" s="29">
        <f>AL86/COS(AT86*PI()/180)</f>
        <v>5.8813463357286944</v>
      </c>
      <c r="AW86" s="28">
        <f>AV86*SIN(AT86*PI()/180)</f>
        <v>0.16956421126096863</v>
      </c>
      <c r="AX86" s="29">
        <f>AL89-AW86</f>
        <v>6.9050029916330935</v>
      </c>
      <c r="AY86" s="28">
        <v>0</v>
      </c>
    </row>
    <row r="87" spans="1:51" x14ac:dyDescent="0.2">
      <c r="A87" s="28">
        <v>10</v>
      </c>
      <c r="B87" s="28" t="s">
        <v>104</v>
      </c>
      <c r="C87" s="29">
        <f>W$3+W$4*Sections!$F41+W$5*Sections!$G41+W$6*Sections!$H41</f>
        <v>0</v>
      </c>
      <c r="D87" s="29">
        <f>X$3+X$4*Sections!$F41+X$5*Sections!$G41+X$6*Sections!$H41</f>
        <v>6.7389560883100275E-2</v>
      </c>
      <c r="E87" s="29">
        <f>Y$3+Y$4*Sections!$F41+Y$5*Sections!$G41+Y$6*Sections!$H41</f>
        <v>0.19156564566714798</v>
      </c>
      <c r="F87" s="29">
        <f>Z$3+Z$4*Sections!$F41+Z$5*Sections!$G41+Z$6*Sections!$H41</f>
        <v>0.30238270138321482</v>
      </c>
      <c r="G87" s="29">
        <f>AA$3+AA$4*Sections!$F41+AA$5*Sections!$G41+AA$6*Sections!$H41</f>
        <v>0.40074922772938321</v>
      </c>
      <c r="H87" s="29">
        <f>AB$3+AB$4*Sections!$F41+AB$5*Sections!$G41+AB$6*Sections!$H41</f>
        <v>0.52686982985523456</v>
      </c>
      <c r="I87" s="29">
        <f>AC$3+AC$4*Sections!$F41+AC$5*Sections!$G41+AC$6*Sections!$H41</f>
        <v>0.68685904970530354</v>
      </c>
      <c r="J87" s="29">
        <f>AD$3+AD$4*Sections!$F41+AD$5*Sections!$G41+AD$6*Sections!$H41</f>
        <v>0.79460853451796587</v>
      </c>
      <c r="K87" s="29">
        <f>AE$3+AE$4*Sections!$F41+AE$5*Sections!$G41+AE$6*Sections!$H41</f>
        <v>0.89672353984573983</v>
      </c>
      <c r="L87" s="29">
        <f>AF$3+AF$4*Sections!$F41+AF$5*Sections!$G41+AF$6*Sections!$H41</f>
        <v>0.9084904204208869</v>
      </c>
      <c r="M87" s="29">
        <f>AG$3+AG$4*Sections!$F41+AG$5*Sections!$G41+AG$6*Sections!$H41</f>
        <v>0.88695289955052203</v>
      </c>
      <c r="N87" s="29">
        <f>AH$3+AH$4*Sections!$F41+AH$5*Sections!$G41+AH$6*Sections!$H41</f>
        <v>0.87092284926654573</v>
      </c>
      <c r="O87" s="29">
        <f>AI$3+AI$4*Sections!$F41+AI$5*Sections!$G41+AI$6*Sections!$H41</f>
        <v>0.88098029032564185</v>
      </c>
      <c r="P87" s="29">
        <f>AJ$3+AJ$4*Sections!$F41+AJ$5*Sections!$G41+AJ$6*Sections!$H41</f>
        <v>0.91947339220928193</v>
      </c>
      <c r="Q87" s="29">
        <f>AK$3+AK$4*Sections!$F41+AK$5*Sections!$G41+AK$6*Sections!$H41</f>
        <v>0.97051847312371609</v>
      </c>
      <c r="R87" s="29">
        <v>1</v>
      </c>
      <c r="S87" s="29">
        <f>AM$3+AM$4*Sections!$F41+AM$5*Sections!$G41+AM$6*Sections!$H41</f>
        <v>0.95557058849394094</v>
      </c>
      <c r="T87" s="29">
        <f>AN$3+AN$4*Sections!$F41+AN$5*Sections!$G41+AN$6*Sections!$H41</f>
        <v>0.76665100298616418</v>
      </c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34"/>
      <c r="AN87" s="29"/>
      <c r="AO87" s="231"/>
      <c r="AR87" s="29"/>
      <c r="AS87" s="29"/>
      <c r="AT87" s="29"/>
      <c r="AX87" s="29">
        <f>AL89</f>
        <v>7.0745672028940625</v>
      </c>
      <c r="AY87" s="29">
        <f>AL86</f>
        <v>5.8789014874420875</v>
      </c>
    </row>
    <row r="88" spans="1:51" x14ac:dyDescent="0.2">
      <c r="B88" s="28" t="s">
        <v>103</v>
      </c>
      <c r="C88" s="29">
        <f>Sections!$O41*C$13+Sections!$N41-Sections!$L41/(C$13+Sections!$M41)</f>
        <v>0</v>
      </c>
      <c r="D88" s="29">
        <f>Sections!$O41*D$13+Sections!$N41-Sections!$L41/(D$13+Sections!$M41)</f>
        <v>6.9216249722280576E-2</v>
      </c>
      <c r="E88" s="29">
        <f>Sections!$O41*E$13+Sections!$N41-Sections!$L41/(E$13+Sections!$M41)</f>
        <v>0.18765185657926198</v>
      </c>
      <c r="F88" s="29">
        <f>Sections!$O41*F$13+Sections!$N41-Sections!$L41/(F$13+Sections!$M41)</f>
        <v>0.28516710735122475</v>
      </c>
      <c r="G88" s="29">
        <f>Sections!$O41*G$13+Sections!$N41-Sections!$L41/(G$13+Sections!$M41)</f>
        <v>0.36673979408423774</v>
      </c>
      <c r="H88" s="29">
        <f>Sections!$O41*H$13+Sections!$N41-Sections!$L41/(H$13+Sections!$M41)</f>
        <v>0.46662227279209889</v>
      </c>
      <c r="I88" s="29">
        <f>Sections!$O41*I$13+Sections!$N41-Sections!$L41/(I$13+Sections!$M41)</f>
        <v>0.59120012622003404</v>
      </c>
      <c r="J88" s="29">
        <f>Sections!$O41*J$13+Sections!$N41-Sections!$L41/(J$13+Sections!$M41)</f>
        <v>0.68122508979726426</v>
      </c>
      <c r="K88" s="29">
        <f>Sections!$O41*K$13+Sections!$N41-Sections!$L41/(K$13+Sections!$M41)</f>
        <v>0.80061358841577046</v>
      </c>
      <c r="L88" s="29">
        <f>Sections!$O41*L$13+Sections!$N41-Sections!$L41/(L$13+Sections!$M41)</f>
        <v>0.87385346422825538</v>
      </c>
      <c r="M88" s="29">
        <f>Sections!$O41*M$13+Sections!$N41-Sections!$L41/(M$13+Sections!$M41)</f>
        <v>0.92123980915769998</v>
      </c>
      <c r="N88" s="29">
        <f>Sections!$O41*N$13+Sections!$N41-Sections!$L41/(N$13+Sections!$M41)</f>
        <v>0.95268877436025767</v>
      </c>
      <c r="O88" s="29">
        <f>Sections!$O41*O$13+Sections!$N41-Sections!$L41/(O$13+Sections!$M41)</f>
        <v>0.97362022777557078</v>
      </c>
      <c r="P88" s="29">
        <f>Sections!$O41*P$13+Sections!$N41-Sections!$L41/(P$13+Sections!$M41)</f>
        <v>0.98724672110087264</v>
      </c>
      <c r="Q88" s="29">
        <f>Sections!$O41*Q$13+Sections!$N41-Sections!$L41/(Q$13+Sections!$M41)</f>
        <v>0.99559335168991792</v>
      </c>
      <c r="R88" s="29">
        <v>1</v>
      </c>
      <c r="S88" s="29">
        <f>Sections!$O41*S$13+Sections!$N41-Sections!$L41/(S$13+Sections!$M41)</f>
        <v>1.0013885406292709</v>
      </c>
      <c r="T88" s="29">
        <f>Sections!$O41*T$13+Sections!$N41-Sections!$L41/(T$13+Sections!$M41)</f>
        <v>1.0004140565624378</v>
      </c>
      <c r="U88" s="36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34"/>
      <c r="AN88" s="29"/>
      <c r="AO88" s="231"/>
      <c r="AR88" s="29"/>
      <c r="AS88" s="29"/>
      <c r="AT88" s="29"/>
      <c r="AV88" s="38"/>
      <c r="AW88" s="38"/>
      <c r="AX88" s="38"/>
      <c r="AY88" s="38"/>
    </row>
    <row r="89" spans="1:51" x14ac:dyDescent="0.2">
      <c r="C89" s="29">
        <f>IF(Sections!$B41&lt;0.72,C87,C88)</f>
        <v>0</v>
      </c>
      <c r="D89" s="29">
        <f>IF(Sections!$B41&lt;0.72,D87,D88)</f>
        <v>6.9216249722280576E-2</v>
      </c>
      <c r="E89" s="29">
        <f>IF(Sections!$B41&lt;0.72,E87,E88)</f>
        <v>0.18765185657926198</v>
      </c>
      <c r="F89" s="29">
        <f>IF(Sections!$B41&lt;0.72,F87,F88)</f>
        <v>0.28516710735122475</v>
      </c>
      <c r="G89" s="29">
        <f>IF(Sections!$B41&lt;0.72,G87,G88)</f>
        <v>0.36673979408423774</v>
      </c>
      <c r="H89" s="29">
        <f>IF(Sections!$B41&lt;0.72,H87,H88)</f>
        <v>0.46662227279209889</v>
      </c>
      <c r="I89" s="29">
        <f>IF(Sections!$B41&lt;0.72,I87,I88)</f>
        <v>0.59120012622003404</v>
      </c>
      <c r="J89" s="29">
        <f>IF(Sections!$B41&lt;0.72,J87,J88)</f>
        <v>0.68122508979726426</v>
      </c>
      <c r="K89" s="29">
        <f>IF(Sections!$B41&lt;0.72,K87,K88)</f>
        <v>0.80061358841577046</v>
      </c>
      <c r="L89" s="29">
        <f>IF(Sections!$B41&lt;0.72,L87,L88)</f>
        <v>0.87385346422825538</v>
      </c>
      <c r="M89" s="29">
        <f>IF(Sections!$B41&lt;0.72,M87,M88)</f>
        <v>0.92123980915769998</v>
      </c>
      <c r="N89" s="29">
        <f>IF(Sections!$B41&lt;0.72,N87,N88)</f>
        <v>0.95268877436025767</v>
      </c>
      <c r="O89" s="29">
        <f>IF(Sections!$B41&lt;0.72,O87,O88)</f>
        <v>0.97362022777557078</v>
      </c>
      <c r="P89" s="29">
        <f>IF(Sections!$B41&lt;0.72,P87,P88)</f>
        <v>0.98724672110087264</v>
      </c>
      <c r="Q89" s="29">
        <f>IF(Sections!$B41&lt;0.72,Q87,Q88)</f>
        <v>0.99559335168991792</v>
      </c>
      <c r="R89" s="29">
        <v>1</v>
      </c>
      <c r="S89" s="29">
        <f>IF(Sections!$B41&lt;0.72,S87,S88)</f>
        <v>1.0013885406292709</v>
      </c>
      <c r="T89" s="29">
        <f>IF(Sections!$B41&lt;0.72,T87,T88)</f>
        <v>1.0004140565624378</v>
      </c>
      <c r="U89" s="29"/>
      <c r="V89" s="29">
        <f>C89*Sections!$Q41</f>
        <v>0</v>
      </c>
      <c r="W89" s="29">
        <f>D89*Sections!$Q41</f>
        <v>0.48722035761400562</v>
      </c>
      <c r="X89" s="29">
        <f>E89*Sections!$Q41</f>
        <v>1.3209008727909985</v>
      </c>
      <c r="Y89" s="29">
        <f>F89*Sections!$Q41</f>
        <v>2.0073208326207683</v>
      </c>
      <c r="Z89" s="29">
        <f>G89*Sections!$Q41</f>
        <v>2.5815194313755394</v>
      </c>
      <c r="AA89" s="29">
        <f>H89*Sections!$Q41</f>
        <v>3.2846025540624413</v>
      </c>
      <c r="AB89" s="29">
        <f>I89*Sections!$Q41</f>
        <v>4.1615189796341889</v>
      </c>
      <c r="AC89" s="29">
        <f>J89*Sections!$Q41</f>
        <v>4.795214031363737</v>
      </c>
      <c r="AD89" s="29">
        <f>K89*Sections!$Q41</f>
        <v>5.6356020504387363</v>
      </c>
      <c r="AE89" s="29">
        <f>L89*Sections!$Q41</f>
        <v>6.1511451292409047</v>
      </c>
      <c r="AF89" s="29">
        <f>M89*Sections!$Q41</f>
        <v>6.4847025238582088</v>
      </c>
      <c r="AG89" s="29">
        <f>N89*Sections!$Q41</f>
        <v>6.7060750503105959</v>
      </c>
      <c r="AH89" s="29">
        <f>O89*Sections!$Q41</f>
        <v>6.8534137209162491</v>
      </c>
      <c r="AI89" s="29">
        <f>P89*Sections!$Q41</f>
        <v>6.9493320201251318</v>
      </c>
      <c r="AJ89" s="29">
        <f>Q89*Sections!$Q41</f>
        <v>7.0080848181571458</v>
      </c>
      <c r="AK89" s="29">
        <f>R89*Sections!$Q41</f>
        <v>7.0391036724598841</v>
      </c>
      <c r="AL89" s="29">
        <f>(2*AO89+2*AK89-4*AM89)*0.25^2+(4*AM89-3*AK89-AO89)*0.25+AK89</f>
        <v>7.0745672028940625</v>
      </c>
      <c r="AM89" s="234">
        <f>_xll.Spline('Mid Upr WL Opt1 Calcs'!$O$24:$O$44,'Cxx Selected'!$I$77:$I$97,Sections!A41,TRUE)</f>
        <v>7.0983723900706526</v>
      </c>
      <c r="AN89" s="29">
        <f>(2*AO89+2*AK89-4*AM89)*0.75^2+(4*AM89-3*AK89-AO89)*0.75+AK89</f>
        <v>7.1105192339896552</v>
      </c>
      <c r="AO89" s="231">
        <f>_xll.Spline('CWD Opt1 Calcs'!$J$26:$J$46,'Cxx Selected'!$I$52:$I$72,Sections!A41,TRUE)</f>
        <v>7.1110077346510696</v>
      </c>
      <c r="AR89" s="29"/>
      <c r="AS89" s="29"/>
      <c r="AT89" s="29"/>
      <c r="AV89" s="38"/>
      <c r="AW89" s="38"/>
      <c r="AX89" s="36">
        <f>AK89-AS86*AK86</f>
        <v>6.8441245354011038</v>
      </c>
      <c r="AY89" s="38">
        <v>0</v>
      </c>
    </row>
    <row r="90" spans="1:51" x14ac:dyDescent="0.2"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>
        <f t="shared" ref="V90:AO90" si="21">-V89</f>
        <v>0</v>
      </c>
      <c r="W90" s="29">
        <f t="shared" si="21"/>
        <v>-0.48722035761400562</v>
      </c>
      <c r="X90" s="29">
        <f t="shared" si="21"/>
        <v>-1.3209008727909985</v>
      </c>
      <c r="Y90" s="29">
        <f t="shared" si="21"/>
        <v>-2.0073208326207683</v>
      </c>
      <c r="Z90" s="29">
        <f t="shared" si="21"/>
        <v>-2.5815194313755394</v>
      </c>
      <c r="AA90" s="29">
        <f t="shared" si="21"/>
        <v>-3.2846025540624413</v>
      </c>
      <c r="AB90" s="29">
        <f t="shared" si="21"/>
        <v>-4.1615189796341889</v>
      </c>
      <c r="AC90" s="29">
        <f t="shared" si="21"/>
        <v>-4.795214031363737</v>
      </c>
      <c r="AD90" s="29">
        <f t="shared" si="21"/>
        <v>-5.6356020504387363</v>
      </c>
      <c r="AE90" s="29">
        <f t="shared" si="21"/>
        <v>-6.1511451292409047</v>
      </c>
      <c r="AF90" s="29">
        <f t="shared" si="21"/>
        <v>-6.4847025238582088</v>
      </c>
      <c r="AG90" s="29">
        <f t="shared" si="21"/>
        <v>-6.7060750503105959</v>
      </c>
      <c r="AH90" s="29">
        <f t="shared" si="21"/>
        <v>-6.8534137209162491</v>
      </c>
      <c r="AI90" s="29">
        <f t="shared" si="21"/>
        <v>-6.9493320201251318</v>
      </c>
      <c r="AJ90" s="29">
        <f t="shared" si="21"/>
        <v>-7.0080848181571458</v>
      </c>
      <c r="AK90" s="29">
        <f t="shared" si="21"/>
        <v>-7.0391036724598841</v>
      </c>
      <c r="AL90" s="29">
        <f>(2*AO90+2*AK90-4*AM90)*0.25^2+(4*AM90-3*AK90-AO90)*0.25+AK90</f>
        <v>-7.0745672028940625</v>
      </c>
      <c r="AM90" s="234">
        <f t="shared" si="21"/>
        <v>-7.0983723900706526</v>
      </c>
      <c r="AN90" s="29">
        <f>(2*AO90+2*AK90-4*AM90)*0.75^2+(4*AM90-3*AK90-AO90)*0.75+AK90</f>
        <v>-7.1105192339896552</v>
      </c>
      <c r="AO90" s="231">
        <f t="shared" si="21"/>
        <v>-7.1110077346510696</v>
      </c>
      <c r="AR90" s="29"/>
      <c r="AS90" s="29"/>
      <c r="AT90" s="29"/>
      <c r="AV90" s="38"/>
      <c r="AW90" s="38"/>
      <c r="AX90" s="36">
        <f>AK89</f>
        <v>7.0391036724598841</v>
      </c>
      <c r="AY90" s="36">
        <f>AK86</f>
        <v>4.8514589937413639</v>
      </c>
    </row>
    <row r="91" spans="1:51" x14ac:dyDescent="0.2"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34"/>
      <c r="AN91" s="29"/>
      <c r="AO91" s="231"/>
      <c r="AR91" s="29"/>
      <c r="AS91" s="29"/>
      <c r="AT91" s="29"/>
    </row>
    <row r="92" spans="1:51" x14ac:dyDescent="0.2"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>
        <f>C$26*Sections!$R42+($C$1-Sections!$R42)</f>
        <v>0</v>
      </c>
      <c r="W92" s="29">
        <f>D$26*Sections!$R42+($C$1-Sections!$R42)</f>
        <v>4.8514589937413644E-2</v>
      </c>
      <c r="X92" s="29">
        <f>E$26*Sections!$R42+($C$1-Sections!$R42)</f>
        <v>0.1455437698122409</v>
      </c>
      <c r="Y92" s="29">
        <f>F$26*Sections!$R42+($C$1-Sections!$R42)</f>
        <v>0.24257294968706822</v>
      </c>
      <c r="Z92" s="29">
        <f>G$26*Sections!$R42+($C$1-Sections!$R42)</f>
        <v>0.3396021295618955</v>
      </c>
      <c r="AA92" s="29">
        <f>H$26*Sections!$R42+($C$1-Sections!$R42)</f>
        <v>0.48514589937413644</v>
      </c>
      <c r="AB92" s="29">
        <f>I$26*Sections!$R42+($C$1-Sections!$R42)</f>
        <v>0.72771884906120454</v>
      </c>
      <c r="AC92" s="29">
        <f>J$26*Sections!$R42+($C$1-Sections!$R42)</f>
        <v>0.97029179874827287</v>
      </c>
      <c r="AD92" s="29">
        <f>K$26*Sections!$R42+($C$1-Sections!$R42)</f>
        <v>1.4554376981224091</v>
      </c>
      <c r="AE92" s="29">
        <f>L$26*Sections!$R42+($C$1-Sections!$R42)</f>
        <v>1.9405835974965457</v>
      </c>
      <c r="AF92" s="29">
        <f>M$26*Sections!$R42+($C$1-Sections!$R42)</f>
        <v>2.425729496870682</v>
      </c>
      <c r="AG92" s="29">
        <f>N$26*Sections!$R42+($C$1-Sections!$R42)</f>
        <v>2.9108753962448182</v>
      </c>
      <c r="AH92" s="29">
        <f>O$26*Sections!$R42+($C$1-Sections!$R42)</f>
        <v>3.3960212956189544</v>
      </c>
      <c r="AI92" s="29">
        <f>P$26*Sections!$R42+($C$1-Sections!$R42)</f>
        <v>3.8811671949930915</v>
      </c>
      <c r="AJ92" s="29">
        <f>Q$26*Sections!$R42+($C$1-Sections!$R42)</f>
        <v>4.3663130943672277</v>
      </c>
      <c r="AK92" s="29">
        <f>R$26*Sections!$R42+($C$1-Sections!$R42)</f>
        <v>4.8514589937413639</v>
      </c>
      <c r="AL92" s="29">
        <f>(AM92+AK92)/2</f>
        <v>5.8786038578464002</v>
      </c>
      <c r="AM92" s="234">
        <f>(AO92+AK92)/2</f>
        <v>6.9057487219514373</v>
      </c>
      <c r="AN92" s="29">
        <f>(AO92+AM92)/2</f>
        <v>7.9328935860564744</v>
      </c>
      <c r="AO92" s="231">
        <f>(_xll.Spline('Profile Calcs'!$G$45:$G$65,'Profile Calcs'!$H$45:$H$65,Sections!A42,TRUE))</f>
        <v>8.9600384501615107</v>
      </c>
      <c r="AR92" s="29">
        <f>-(-4*AM95+3*AK95+AO95)*(AO92-AK92)*Sections!R42/Sections!Q42</f>
        <v>1.9953266894082797</v>
      </c>
      <c r="AS92" s="29">
        <f>-(-4*AM95+3*AK95+AO95)/(AO92-AK92)</f>
        <v>0.16697951504438782</v>
      </c>
      <c r="AT92" s="29">
        <f>DEGREES(ATAN((AM95-AK95)/(AM92-AK92)))</f>
        <v>5.8249782901704599</v>
      </c>
      <c r="AU92" s="28">
        <f>((AX96-AX95)/AX96)/(AY96/Sections!$R$42)</f>
        <v>0.11820358028373786</v>
      </c>
      <c r="AV92" s="29">
        <f>AL92/COS(AT92*PI()/180)</f>
        <v>5.9091152289306654</v>
      </c>
      <c r="AW92" s="28">
        <f>AV92*SIN(AT92*PI()/180)</f>
        <v>0.59971615893998376</v>
      </c>
      <c r="AX92" s="29">
        <f>AL95-AW92</f>
        <v>6.3918147514573258</v>
      </c>
      <c r="AY92" s="28">
        <v>0</v>
      </c>
    </row>
    <row r="93" spans="1:51" x14ac:dyDescent="0.2">
      <c r="A93" s="28">
        <v>9</v>
      </c>
      <c r="B93" s="28" t="s">
        <v>104</v>
      </c>
      <c r="C93" s="29">
        <f>W$3+W$4*Sections!$F42+W$5*Sections!$G42+W$6*Sections!$H42</f>
        <v>0</v>
      </c>
      <c r="D93" s="29">
        <f>X$3+X$4*Sections!$F42+X$5*Sections!$G42+X$6*Sections!$H42</f>
        <v>9.9687417717405108E-2</v>
      </c>
      <c r="E93" s="29">
        <f>Y$3+Y$4*Sections!$F42+Y$5*Sections!$G42+Y$6*Sections!$H42</f>
        <v>0.28004736338399838</v>
      </c>
      <c r="F93" s="29">
        <f>Z$3+Z$4*Sections!$F42+Z$5*Sections!$G42+Z$6*Sections!$H42</f>
        <v>0.43657785548991174</v>
      </c>
      <c r="G93" s="29">
        <f>AA$3+AA$4*Sections!$F42+AA$5*Sections!$G42+AA$6*Sections!$H42</f>
        <v>0.57105516532679246</v>
      </c>
      <c r="H93" s="29">
        <f>AB$3+AB$4*Sections!$F42+AB$5*Sections!$G42+AB$6*Sections!$H42</f>
        <v>0.73516017159623281</v>
      </c>
      <c r="I93" s="29">
        <f>AC$3+AC$4*Sections!$F42+AC$5*Sections!$G42+AC$6*Sections!$H42</f>
        <v>0.92186968522958734</v>
      </c>
      <c r="J93" s="29">
        <f>AD$3+AD$4*Sections!$F42+AD$5*Sections!$G42+AD$6*Sections!$H42</f>
        <v>1.0204984161272193</v>
      </c>
      <c r="K93" s="29">
        <f>AE$3+AE$4*Sections!$F42+AE$5*Sections!$G42+AE$6*Sections!$H42</f>
        <v>1.0370280227973887</v>
      </c>
      <c r="L93" s="29">
        <f>AF$3+AF$4*Sections!$F42+AF$5*Sections!$G42+AF$6*Sections!$H42</f>
        <v>0.92847080603708509</v>
      </c>
      <c r="M93" s="29">
        <f>AG$3+AG$4*Sections!$F42+AG$5*Sections!$G42+AG$6*Sections!$H42</f>
        <v>0.80125710550256879</v>
      </c>
      <c r="N93" s="29">
        <f>AH$3+AH$4*Sections!$F42+AH$5*Sections!$G42+AH$6*Sections!$H42</f>
        <v>0.72452578607601614</v>
      </c>
      <c r="O93" s="29">
        <f>AI$3+AI$4*Sections!$F42+AI$5*Sections!$G42+AI$6*Sections!$H42</f>
        <v>0.73012423786551639</v>
      </c>
      <c r="P93" s="29">
        <f>AJ$3+AJ$4*Sections!$F42+AJ$5*Sections!$G42+AJ$6*Sections!$H42</f>
        <v>0.81260837620507775</v>
      </c>
      <c r="Q93" s="29">
        <f>AK$3+AK$4*Sections!$F42+AK$5*Sections!$G42+AK$6*Sections!$H42</f>
        <v>0.92924264165462089</v>
      </c>
      <c r="R93" s="29">
        <v>1</v>
      </c>
      <c r="S93" s="29">
        <f>AM$3+AM$4*Sections!$F42+AM$5*Sections!$G42+AM$6*Sections!$H42</f>
        <v>0.90756194225295195</v>
      </c>
      <c r="T93" s="29">
        <f>AN$3+AN$4*Sections!$F42+AN$5*Sections!$G42+AN$6*Sections!$H42</f>
        <v>0.49731848465115958</v>
      </c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34"/>
      <c r="AN93" s="29"/>
      <c r="AO93" s="231"/>
      <c r="AR93" s="29"/>
      <c r="AS93" s="29"/>
      <c r="AT93" s="29"/>
      <c r="AX93" s="29">
        <f>AL95</f>
        <v>6.9915309103973096</v>
      </c>
      <c r="AY93" s="29">
        <f>AL92</f>
        <v>5.8786038578464002</v>
      </c>
    </row>
    <row r="94" spans="1:51" x14ac:dyDescent="0.2">
      <c r="B94" s="28" t="s">
        <v>103</v>
      </c>
      <c r="C94" s="29">
        <f>Sections!$O42*C$13+Sections!$N42-Sections!$L42/(C$13+Sections!$M42)</f>
        <v>0</v>
      </c>
      <c r="D94" s="29">
        <f>Sections!$O42*D$13+Sections!$N42-Sections!$L42/(D$13+Sections!$M42)</f>
        <v>0.10297317668905182</v>
      </c>
      <c r="E94" s="29">
        <f>Sections!$O42*E$13+Sections!$N42-Sections!$L42/(E$13+Sections!$M42)</f>
        <v>0.25869943813636231</v>
      </c>
      <c r="F94" s="29">
        <f>Sections!$O42*F$13+Sections!$N42-Sections!$L42/(F$13+Sections!$M42)</f>
        <v>0.37094561125222469</v>
      </c>
      <c r="G94" s="29">
        <f>Sections!$O42*G$13+Sections!$N42-Sections!$L42/(G$13+Sections!$M42)</f>
        <v>0.45575704611214807</v>
      </c>
      <c r="H94" s="29">
        <f>Sections!$O42*H$13+Sections!$N42-Sections!$L42/(H$13+Sections!$M42)</f>
        <v>0.55023087561030382</v>
      </c>
      <c r="I94" s="29">
        <f>Sections!$O42*I$13+Sections!$N42-Sections!$L42/(I$13+Sections!$M42)</f>
        <v>0.65636485102624809</v>
      </c>
      <c r="J94" s="29">
        <f>Sections!$O42*J$13+Sections!$N42-Sections!$L42/(J$13+Sections!$M42)</f>
        <v>0.72684954520389389</v>
      </c>
      <c r="K94" s="29">
        <f>Sections!$O42*K$13+Sections!$N42-Sections!$L42/(K$13+Sections!$M42)</f>
        <v>0.81535438407264871</v>
      </c>
      <c r="L94" s="29">
        <f>Sections!$O42*L$13+Sections!$N42-Sections!$L42/(L$13+Sections!$M42)</f>
        <v>0.86940904056162416</v>
      </c>
      <c r="M94" s="29">
        <f>Sections!$O42*M$13+Sections!$N42-Sections!$L42/(M$13+Sections!$M42)</f>
        <v>0.90645401078636434</v>
      </c>
      <c r="N94" s="29">
        <f>Sections!$O42*N$13+Sections!$N42-Sections!$L42/(N$13+Sections!$M42)</f>
        <v>0.93385715976129857</v>
      </c>
      <c r="O94" s="29">
        <f>Sections!$O42*O$13+Sections!$N42-Sections!$L42/(O$13+Sections!$M42)</f>
        <v>0.95526797616650438</v>
      </c>
      <c r="P94" s="29">
        <f>Sections!$O42*P$13+Sections!$N42-Sections!$L42/(P$13+Sections!$M42)</f>
        <v>0.97270048749084581</v>
      </c>
      <c r="Q94" s="29">
        <f>Sections!$O42*Q$13+Sections!$N42-Sections!$L42/(Q$13+Sections!$M42)</f>
        <v>0.98735709566907692</v>
      </c>
      <c r="R94" s="29">
        <v>1</v>
      </c>
      <c r="S94" s="29">
        <f>Sections!$O42*S$13+Sections!$N42-Sections!$L42/(S$13+Sections!$M42)</f>
        <v>1.0111357546322199</v>
      </c>
      <c r="T94" s="29">
        <f>Sections!$O42*T$13+Sections!$N42-Sections!$L42/(T$13+Sections!$M42)</f>
        <v>1.0211141573265878</v>
      </c>
      <c r="U94" s="36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34"/>
      <c r="AN94" s="29"/>
      <c r="AO94" s="231"/>
      <c r="AR94" s="29"/>
      <c r="AS94" s="29"/>
      <c r="AT94" s="29"/>
      <c r="AV94" s="38"/>
      <c r="AW94" s="38"/>
      <c r="AX94" s="38"/>
      <c r="AY94" s="38"/>
    </row>
    <row r="95" spans="1:51" x14ac:dyDescent="0.2">
      <c r="C95" s="29">
        <f>IF(Sections!$B42&lt;0.72,C93,C94)</f>
        <v>0</v>
      </c>
      <c r="D95" s="29">
        <f>IF(Sections!$B42&lt;0.72,D93,D94)</f>
        <v>0.10297317668905182</v>
      </c>
      <c r="E95" s="29">
        <f>IF(Sections!$B42&lt;0.72,E93,E94)</f>
        <v>0.25869943813636231</v>
      </c>
      <c r="F95" s="29">
        <f>IF(Sections!$B42&lt;0.72,F93,F94)</f>
        <v>0.37094561125222469</v>
      </c>
      <c r="G95" s="29">
        <f>IF(Sections!$B42&lt;0.72,G93,G94)</f>
        <v>0.45575704611214807</v>
      </c>
      <c r="H95" s="29">
        <f>IF(Sections!$B42&lt;0.72,H93,H94)</f>
        <v>0.55023087561030382</v>
      </c>
      <c r="I95" s="29">
        <f>IF(Sections!$B42&lt;0.72,I93,I94)</f>
        <v>0.65636485102624809</v>
      </c>
      <c r="J95" s="29">
        <f>IF(Sections!$B42&lt;0.72,J93,J94)</f>
        <v>0.72684954520389389</v>
      </c>
      <c r="K95" s="29">
        <f>IF(Sections!$B42&lt;0.72,K93,K94)</f>
        <v>0.81535438407264871</v>
      </c>
      <c r="L95" s="29">
        <f>IF(Sections!$B42&lt;0.72,L93,L94)</f>
        <v>0.86940904056162416</v>
      </c>
      <c r="M95" s="29">
        <f>IF(Sections!$B42&lt;0.72,M93,M94)</f>
        <v>0.90645401078636434</v>
      </c>
      <c r="N95" s="29">
        <f>IF(Sections!$B42&lt;0.72,N93,N94)</f>
        <v>0.93385715976129857</v>
      </c>
      <c r="O95" s="29">
        <f>IF(Sections!$B42&lt;0.72,O93,O94)</f>
        <v>0.95526797616650438</v>
      </c>
      <c r="P95" s="29">
        <f>IF(Sections!$B42&lt;0.72,P93,P94)</f>
        <v>0.97270048749084581</v>
      </c>
      <c r="Q95" s="29">
        <f>IF(Sections!$B42&lt;0.72,Q93,Q94)</f>
        <v>0.98735709566907692</v>
      </c>
      <c r="R95" s="29">
        <v>1</v>
      </c>
      <c r="S95" s="29">
        <f>IF(Sections!$B42&lt;0.72,S93,S94)</f>
        <v>1.0111357546322199</v>
      </c>
      <c r="T95" s="29">
        <f>IF(Sections!$B42&lt;0.72,T93,T94)</f>
        <v>1.0211141573265878</v>
      </c>
      <c r="U95" s="29"/>
      <c r="V95" s="29">
        <f>C95*Sections!$Q42</f>
        <v>0</v>
      </c>
      <c r="W95" s="29">
        <f>D95*Sections!$Q42</f>
        <v>0.70571449868628622</v>
      </c>
      <c r="X95" s="29">
        <f>E95*Sections!$Q42</f>
        <v>1.772966030232586</v>
      </c>
      <c r="Y95" s="29">
        <f>F95*Sections!$Q42</f>
        <v>2.5422319141929957</v>
      </c>
      <c r="Z95" s="29">
        <f>G95*Sections!$Q42</f>
        <v>3.1234770613226468</v>
      </c>
      <c r="AA95" s="29">
        <f>H95*Sections!$Q42</f>
        <v>3.770942288355438</v>
      </c>
      <c r="AB95" s="29">
        <f>I95*Sections!$Q42</f>
        <v>4.4983189476229501</v>
      </c>
      <c r="AC95" s="29">
        <f>J95*Sections!$Q42</f>
        <v>4.981377470395727</v>
      </c>
      <c r="AD95" s="29">
        <f>K95*Sections!$Q42</f>
        <v>5.5879349254714477</v>
      </c>
      <c r="AE95" s="29">
        <f>L95*Sections!$Q42</f>
        <v>5.958392126388631</v>
      </c>
      <c r="AF95" s="29">
        <f>M95*Sections!$Q42</f>
        <v>6.2122754524313493</v>
      </c>
      <c r="AG95" s="29">
        <f>N95*Sections!$Q42</f>
        <v>6.4000796958574666</v>
      </c>
      <c r="AH95" s="29">
        <f>O95*Sections!$Q42</f>
        <v>6.546816196096664</v>
      </c>
      <c r="AI95" s="29">
        <f>P95*Sections!$Q42</f>
        <v>6.6662878525577449</v>
      </c>
      <c r="AJ95" s="29">
        <f>Q95*Sections!$Q42</f>
        <v>6.7667351848195789</v>
      </c>
      <c r="AK95" s="29">
        <f>R95*Sections!$Q42</f>
        <v>6.8533818357117688</v>
      </c>
      <c r="AL95" s="29">
        <f>(2*AO95+2*AK95-4*AM95)*0.25^2+(4*AM95-3*AK95-AO95)*0.25+AK95</f>
        <v>6.9915309103973096</v>
      </c>
      <c r="AM95" s="234">
        <f>_xll.Spline('Mid Upr WL Opt1 Calcs'!$O$24:$O$44,'Cxx Selected'!$I$77:$I$97,Sections!A42,TRUE)</f>
        <v>7.0629538318767464</v>
      </c>
      <c r="AN95" s="29">
        <f>(2*AO95+2*AK95-4*AM95)*0.75^2+(4*AM95-3*AK95-AO95)*0.75+AK95</f>
        <v>7.0676506001500794</v>
      </c>
      <c r="AO95" s="231">
        <f>_xll.Spline('CWD Opt1 Calcs'!$J$26:$J$46,'Cxx Selected'!$I$52:$I$72,Sections!A42,TRUE)</f>
        <v>7.0056212152173085</v>
      </c>
      <c r="AR95" s="29"/>
      <c r="AS95" s="29"/>
      <c r="AT95" s="29"/>
      <c r="AV95" s="38"/>
      <c r="AW95" s="38"/>
      <c r="AX95" s="36">
        <f>AK95-AS92*AK92</f>
        <v>6.0432875656791021</v>
      </c>
      <c r="AY95" s="38">
        <v>0</v>
      </c>
    </row>
    <row r="96" spans="1:51" x14ac:dyDescent="0.2"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34"/>
      <c r="AN96" s="29"/>
      <c r="AO96" s="231"/>
      <c r="AR96" s="29"/>
      <c r="AS96" s="29"/>
      <c r="AT96" s="29"/>
      <c r="AV96" s="38"/>
      <c r="AW96" s="38"/>
      <c r="AX96" s="36">
        <f>AK95</f>
        <v>6.8533818357117688</v>
      </c>
      <c r="AY96" s="36">
        <f>AK92</f>
        <v>4.8514589937413639</v>
      </c>
    </row>
    <row r="97" spans="1:51" x14ac:dyDescent="0.2"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>
        <f>C$26*Sections!$R43+($C$1-Sections!$R43)</f>
        <v>0</v>
      </c>
      <c r="W97" s="29">
        <f>D$26*Sections!$R43+($C$1-Sections!$R43)</f>
        <v>4.8514589937413644E-2</v>
      </c>
      <c r="X97" s="29">
        <f>E$26*Sections!$R43+($C$1-Sections!$R43)</f>
        <v>0.1455437698122409</v>
      </c>
      <c r="Y97" s="29">
        <f>F$26*Sections!$R43+($C$1-Sections!$R43)</f>
        <v>0.24257294968706822</v>
      </c>
      <c r="Z97" s="29">
        <f>G$26*Sections!$R43+($C$1-Sections!$R43)</f>
        <v>0.3396021295618955</v>
      </c>
      <c r="AA97" s="29">
        <f>H$26*Sections!$R43+($C$1-Sections!$R43)</f>
        <v>0.48514589937413644</v>
      </c>
      <c r="AB97" s="29">
        <f>I$26*Sections!$R43+($C$1-Sections!$R43)</f>
        <v>0.72771884906120454</v>
      </c>
      <c r="AC97" s="29">
        <f>J$26*Sections!$R43+($C$1-Sections!$R43)</f>
        <v>0.97029179874827287</v>
      </c>
      <c r="AD97" s="29">
        <f>K$26*Sections!$R43+($C$1-Sections!$R43)</f>
        <v>1.4554376981224091</v>
      </c>
      <c r="AE97" s="29">
        <f>L$26*Sections!$R43+($C$1-Sections!$R43)</f>
        <v>1.9405835974965457</v>
      </c>
      <c r="AF97" s="29">
        <f>M$26*Sections!$R43+($C$1-Sections!$R43)</f>
        <v>2.425729496870682</v>
      </c>
      <c r="AG97" s="29">
        <f>N$26*Sections!$R43+($C$1-Sections!$R43)</f>
        <v>2.9108753962448182</v>
      </c>
      <c r="AH97" s="29">
        <f>O$26*Sections!$R43+($C$1-Sections!$R43)</f>
        <v>3.3960212956189544</v>
      </c>
      <c r="AI97" s="29">
        <f>P$26*Sections!$R43+($C$1-Sections!$R43)</f>
        <v>3.8811671949930915</v>
      </c>
      <c r="AJ97" s="29">
        <f>Q$26*Sections!$R43+($C$1-Sections!$R43)</f>
        <v>4.3663130943672277</v>
      </c>
      <c r="AK97" s="29">
        <f>R$26*Sections!$R43+($C$1-Sections!$R43)</f>
        <v>4.8514589937413639</v>
      </c>
      <c r="AL97" s="29">
        <f>(AM97+AK97)/2</f>
        <v>5.8847451797176085</v>
      </c>
      <c r="AM97" s="234">
        <f>(AO97+AK97)/2</f>
        <v>6.9180313656938521</v>
      </c>
      <c r="AN97" s="29">
        <f>(AO97+AM97)/2</f>
        <v>7.9513175516700958</v>
      </c>
      <c r="AO97" s="231">
        <f>(_xll.Spline('Profile Calcs'!$G$45:$G$65,'Profile Calcs'!$H$45:$H$65,Sections!A43,TRUE))</f>
        <v>8.9846037376463403</v>
      </c>
      <c r="AR97" s="29">
        <f>-(-4*AM100+3*AK100+AO100)*(AO97-AK97)*Sections!R43/Sections!Q43</f>
        <v>3.6875116700253905</v>
      </c>
      <c r="AS97" s="29">
        <f>-(-4*AM100+3*AK100+AO100)/(AO97-AK97)</f>
        <v>0.29093299432615838</v>
      </c>
      <c r="AT97" s="29">
        <f>DEGREES(ATAN((AM100-AK100)/(AM97-AK97)))</f>
        <v>10.282902752991703</v>
      </c>
      <c r="AU97" s="28">
        <f>((AX101-AX100)/AX101)/(AY101/Sections!$R$43)</f>
        <v>0.21586000067861974</v>
      </c>
      <c r="AV97" s="29">
        <f>AL97/COS(AT97*PI()/180)</f>
        <v>5.9808068096542852</v>
      </c>
      <c r="AW97" s="28">
        <f>AV97*SIN(AT97*PI()/180)</f>
        <v>1.06762552620169</v>
      </c>
      <c r="AX97" s="29">
        <f>AL100-AW97</f>
        <v>5.7151401388727283</v>
      </c>
      <c r="AY97" s="28">
        <v>0</v>
      </c>
    </row>
    <row r="98" spans="1:51" x14ac:dyDescent="0.2">
      <c r="A98" s="28">
        <v>8</v>
      </c>
      <c r="B98" s="28" t="s">
        <v>104</v>
      </c>
      <c r="C98" s="29">
        <f>W$3+W$4*Sections!$F43+W$5*Sections!$G43+W$6*Sections!$H43</f>
        <v>0</v>
      </c>
      <c r="D98" s="29">
        <f>X$3+X$4*Sections!$F43+X$5*Sections!$G43+X$6*Sections!$H43</f>
        <v>0.1636580072126069</v>
      </c>
      <c r="E98" s="29">
        <f>Y$3+Y$4*Sections!$F43+Y$5*Sections!$G43+Y$6*Sections!$H43</f>
        <v>0.45489341724643251</v>
      </c>
      <c r="F98" s="29">
        <f>Z$3+Z$4*Sections!$F43+Z$5*Sections!$G43+Z$6*Sections!$H43</f>
        <v>0.70107971993239315</v>
      </c>
      <c r="G98" s="29">
        <f>AA$3+AA$4*Sections!$F43+AA$5*Sections!$G43+AA$6*Sections!$H43</f>
        <v>0.90577920002710544</v>
      </c>
      <c r="H98" s="29">
        <f>AB$3+AB$4*Sections!$F43+AB$5*Sections!$G43+AB$6*Sections!$H43</f>
        <v>1.1425300691314602</v>
      </c>
      <c r="I98" s="29">
        <f>AC$3+AC$4*Sections!$F43+AC$5*Sections!$G43+AC$6*Sections!$H43</f>
        <v>1.3766444515391099</v>
      </c>
      <c r="J98" s="29">
        <f>AD$3+AD$4*Sections!$F43+AD$5*Sections!$G43+AD$6*Sections!$H43</f>
        <v>1.4509058491255082</v>
      </c>
      <c r="K98" s="29">
        <f>AE$3+AE$4*Sections!$F43+AE$5*Sections!$G43+AE$6*Sections!$H43</f>
        <v>1.2857495078565071</v>
      </c>
      <c r="L98" s="29">
        <f>AF$3+AF$4*Sections!$F43+AF$5*Sections!$G43+AF$6*Sections!$H43</f>
        <v>0.93071646165093858</v>
      </c>
      <c r="M98" s="29">
        <f>AG$3+AG$4*Sections!$F43+AG$5*Sections!$G43+AG$6*Sections!$H43</f>
        <v>0.59249537528740759</v>
      </c>
      <c r="N98" s="29">
        <f>AH$3+AH$4*Sections!$F43+AH$5*Sections!$G43+AH$6*Sections!$H43</f>
        <v>0.40080816199664226</v>
      </c>
      <c r="O98" s="29">
        <f>AI$3+AI$4*Sections!$F43+AI$5*Sections!$G43+AI$6*Sections!$H43</f>
        <v>0.40840998346148516</v>
      </c>
      <c r="P98" s="29">
        <f>AJ$3+AJ$4*Sections!$F43+AJ$5*Sections!$G43+AJ$6*Sections!$H43</f>
        <v>0.5910892498169088</v>
      </c>
      <c r="Q98" s="29">
        <f>AK$3+AK$4*Sections!$F43+AK$5*Sections!$G43+AK$6*Sections!$H43</f>
        <v>0.84766761965000392</v>
      </c>
      <c r="R98" s="29">
        <v>1</v>
      </c>
      <c r="S98" s="29">
        <f>AM$3+AM$4*Sections!$F43+AM$5*Sections!$G43+AM$6*Sections!$H43</f>
        <v>0.79297454635821418</v>
      </c>
      <c r="T98" s="29">
        <f>AN$3+AN$4*Sections!$F43+AN$5*Sections!$G43+AN$6*Sections!$H43</f>
        <v>-0.10548733733188786</v>
      </c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34"/>
      <c r="AN98" s="29"/>
      <c r="AO98" s="231"/>
      <c r="AR98" s="29"/>
      <c r="AS98" s="29"/>
      <c r="AT98" s="29"/>
      <c r="AX98" s="29">
        <f>AL100</f>
        <v>6.7827656650744181</v>
      </c>
      <c r="AY98" s="29">
        <f>AL97</f>
        <v>5.8847451797176085</v>
      </c>
    </row>
    <row r="99" spans="1:51" x14ac:dyDescent="0.2">
      <c r="B99" s="28" t="s">
        <v>103</v>
      </c>
      <c r="C99" s="29">
        <f>Sections!$O43*C$13+Sections!$N43-Sections!$L43/(C$13+Sections!$M43)</f>
        <v>0</v>
      </c>
      <c r="D99" s="29">
        <f>Sections!$O43*D$13+Sections!$N43-Sections!$L43/(D$13+Sections!$M43)</f>
        <v>0.16990562908785922</v>
      </c>
      <c r="E99" s="29">
        <f>Sections!$O43*E$13+Sections!$N43-Sections!$L43/(E$13+Sections!$M43)</f>
        <v>0.36671178608409011</v>
      </c>
      <c r="F99" s="29">
        <f>Sections!$O43*F$13+Sections!$N43-Sections!$L43/(F$13+Sections!$M43)</f>
        <v>0.47817246525633966</v>
      </c>
      <c r="G99" s="29">
        <f>Sections!$O43*G$13+Sections!$N43-Sections!$L43/(G$13+Sections!$M43)</f>
        <v>0.55062316951144408</v>
      </c>
      <c r="H99" s="29">
        <f>Sections!$O43*H$13+Sections!$N43-Sections!$L43/(H$13+Sections!$M43)</f>
        <v>0.62259355600875854</v>
      </c>
      <c r="I99" s="29">
        <f>Sections!$O43*I$13+Sections!$N43-Sections!$L43/(I$13+Sections!$M43)</f>
        <v>0.69604011300230417</v>
      </c>
      <c r="J99" s="29">
        <f>Sections!$O43*J$13+Sections!$N43-Sections!$L43/(J$13+Sections!$M43)</f>
        <v>0.74277639308326771</v>
      </c>
      <c r="K99" s="29">
        <f>Sections!$O43*K$13+Sections!$N43-Sections!$L43/(K$13+Sections!$M43)</f>
        <v>0.80318273405870122</v>
      </c>
      <c r="L99" s="29">
        <f>Sections!$O43*L$13+Sections!$N43-Sections!$L43/(L$13+Sections!$M43)</f>
        <v>0.8445217113724377</v>
      </c>
      <c r="M99" s="29">
        <f>Sections!$O43*M$13+Sections!$N43-Sections!$L43/(M$13+Sections!$M43)</f>
        <v>0.87737622856128739</v>
      </c>
      <c r="N99" s="29">
        <f>Sections!$O43*N$13+Sections!$N43-Sections!$L43/(N$13+Sections!$M43)</f>
        <v>0.90572018384698305</v>
      </c>
      <c r="O99" s="29">
        <f>Sections!$O43*O$13+Sections!$N43-Sections!$L43/(O$13+Sections!$M43)</f>
        <v>0.93138091378060084</v>
      </c>
      <c r="P99" s="29">
        <f>Sections!$O43*P$13+Sections!$N43-Sections!$L43/(P$13+Sections!$M43)</f>
        <v>0.9553161269344933</v>
      </c>
      <c r="Q99" s="29">
        <f>Sections!$O43*Q$13+Sections!$N43-Sections!$L43/(Q$13+Sections!$M43)</f>
        <v>0.97807621910493991</v>
      </c>
      <c r="R99" s="29">
        <v>1</v>
      </c>
      <c r="S99" s="29">
        <f>Sections!$O43*S$13+Sections!$N43-Sections!$L43/(S$13+Sections!$M43)</f>
        <v>1.0213074523203258</v>
      </c>
      <c r="T99" s="29">
        <f>Sections!$O43*T$13+Sections!$N43-Sections!$L43/(T$13+Sections!$M43)</f>
        <v>1.0421476260163578</v>
      </c>
      <c r="U99" s="36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34"/>
      <c r="AN99" s="29"/>
      <c r="AO99" s="231"/>
      <c r="AR99" s="29"/>
      <c r="AS99" s="29"/>
      <c r="AT99" s="29"/>
      <c r="AV99" s="38"/>
      <c r="AW99" s="38"/>
      <c r="AX99" s="38"/>
      <c r="AY99" s="38"/>
    </row>
    <row r="100" spans="1:51" x14ac:dyDescent="0.2">
      <c r="C100" s="29">
        <f>IF(Sections!$B43&lt;0.72,C98,C99)</f>
        <v>0</v>
      </c>
      <c r="D100" s="29">
        <f>IF(Sections!$B43&lt;0.72,D98,D99)</f>
        <v>0.16990562908785922</v>
      </c>
      <c r="E100" s="29">
        <f>IF(Sections!$B43&lt;0.72,E98,E99)</f>
        <v>0.36671178608409011</v>
      </c>
      <c r="F100" s="29">
        <f>IF(Sections!$B43&lt;0.72,F98,F99)</f>
        <v>0.47817246525633966</v>
      </c>
      <c r="G100" s="29">
        <f>IF(Sections!$B43&lt;0.72,G98,G99)</f>
        <v>0.55062316951144408</v>
      </c>
      <c r="H100" s="29">
        <f>IF(Sections!$B43&lt;0.72,H98,H99)</f>
        <v>0.62259355600875854</v>
      </c>
      <c r="I100" s="29">
        <f>IF(Sections!$B43&lt;0.72,I98,I99)</f>
        <v>0.69604011300230417</v>
      </c>
      <c r="J100" s="29">
        <f>IF(Sections!$B43&lt;0.72,J98,J99)</f>
        <v>0.74277639308326771</v>
      </c>
      <c r="K100" s="29">
        <f>IF(Sections!$B43&lt;0.72,K98,K99)</f>
        <v>0.80318273405870122</v>
      </c>
      <c r="L100" s="29">
        <f>IF(Sections!$B43&lt;0.72,L98,L99)</f>
        <v>0.8445217113724377</v>
      </c>
      <c r="M100" s="29">
        <f>IF(Sections!$B43&lt;0.72,M98,M99)</f>
        <v>0.87737622856128739</v>
      </c>
      <c r="N100" s="29">
        <f>IF(Sections!$B43&lt;0.72,N98,N99)</f>
        <v>0.90572018384698305</v>
      </c>
      <c r="O100" s="29">
        <f>IF(Sections!$B43&lt;0.72,O98,O99)</f>
        <v>0.93138091378060084</v>
      </c>
      <c r="P100" s="29">
        <f>IF(Sections!$B43&lt;0.72,P98,P99)</f>
        <v>0.9553161269344933</v>
      </c>
      <c r="Q100" s="29">
        <f>IF(Sections!$B43&lt;0.72,Q98,Q99)</f>
        <v>0.97807621910493991</v>
      </c>
      <c r="R100" s="29">
        <v>1</v>
      </c>
      <c r="S100" s="29">
        <f>IF(Sections!$B43&lt;0.72,S98,S99)</f>
        <v>1.0213074523203258</v>
      </c>
      <c r="T100" s="29">
        <f>IF(Sections!$B43&lt;0.72,T98,T99)</f>
        <v>1.0421476260163578</v>
      </c>
      <c r="U100" s="29"/>
      <c r="V100" s="29">
        <f>C100*Sections!$Q43</f>
        <v>0</v>
      </c>
      <c r="W100" s="29">
        <f>D100*Sections!$Q43</f>
        <v>1.1109664277450284</v>
      </c>
      <c r="X100" s="29">
        <f>E100*Sections!$Q43</f>
        <v>2.3978280483407017</v>
      </c>
      <c r="Y100" s="29">
        <f>F100*Sections!$Q43</f>
        <v>3.126638937295982</v>
      </c>
      <c r="Z100" s="29">
        <f>G100*Sections!$Q43</f>
        <v>3.6003742721758103</v>
      </c>
      <c r="AA100" s="29">
        <f>H100*Sections!$Q43</f>
        <v>4.0709689406373499</v>
      </c>
      <c r="AB100" s="29">
        <f>I100*Sections!$Q43</f>
        <v>4.5512158841397161</v>
      </c>
      <c r="AC100" s="29">
        <f>J100*Sections!$Q43</f>
        <v>4.8568116340061893</v>
      </c>
      <c r="AD100" s="29">
        <f>K100*Sections!$Q43</f>
        <v>5.2517921723609415</v>
      </c>
      <c r="AE100" s="29">
        <f>L100*Sections!$Q43</f>
        <v>5.522096435965568</v>
      </c>
      <c r="AF100" s="29">
        <f>M100*Sections!$Q43</f>
        <v>5.7369231358962072</v>
      </c>
      <c r="AG100" s="29">
        <f>N100*Sections!$Q43</f>
        <v>5.922256505490636</v>
      </c>
      <c r="AH100" s="29">
        <f>O100*Sections!$Q43</f>
        <v>6.0900449985542737</v>
      </c>
      <c r="AI100" s="29">
        <f>P100*Sections!$Q43</f>
        <v>6.2465508094426534</v>
      </c>
      <c r="AJ100" s="29">
        <f>Q100*Sections!$Q43</f>
        <v>6.3953728256965894</v>
      </c>
      <c r="AK100" s="29">
        <f>R100*Sections!$Q43</f>
        <v>6.538726431309354</v>
      </c>
      <c r="AL100" s="29">
        <f>(2*AO100+2*AK100-4*AM100)*0.25^2+(4*AM100-3*AK100-AO100)*0.25+AK100</f>
        <v>6.7827656650744181</v>
      </c>
      <c r="AM100" s="234">
        <f>_xll.Spline('Mid Upr WL Opt1 Calcs'!$O$24:$O$44,'Cxx Selected'!$I$77:$I$97,Sections!A43,TRUE)</f>
        <v>6.9136492782057637</v>
      </c>
      <c r="AN100" s="29">
        <f>(2*AO100+2*AK100-4*AM100)*0.75^2+(4*AM100-3*AK100-AO100)*0.75+AK100</f>
        <v>6.931377270703388</v>
      </c>
      <c r="AO100" s="231">
        <f>_xll.Spline('CWD Opt1 Calcs'!$J$26:$J$46,'Cxx Selected'!$I$52:$I$72,Sections!A43,TRUE)</f>
        <v>6.8359496425672939</v>
      </c>
      <c r="AR100" s="29"/>
      <c r="AS100" s="29"/>
      <c r="AT100" s="29"/>
      <c r="AV100" s="38"/>
      <c r="AW100" s="38"/>
      <c r="AX100" s="36">
        <f>AK100-AS97*AK97</f>
        <v>5.127276939409608</v>
      </c>
      <c r="AY100" s="38">
        <v>0</v>
      </c>
    </row>
    <row r="101" spans="1:51" x14ac:dyDescent="0.2"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34"/>
      <c r="AN101" s="29"/>
      <c r="AO101" s="231"/>
      <c r="AR101" s="29"/>
      <c r="AS101" s="29"/>
      <c r="AT101" s="29"/>
      <c r="AV101" s="38"/>
      <c r="AW101" s="38"/>
      <c r="AX101" s="36">
        <f>AK100</f>
        <v>6.538726431309354</v>
      </c>
      <c r="AY101" s="36">
        <f>AK97</f>
        <v>4.8514589937413639</v>
      </c>
    </row>
    <row r="102" spans="1:51" x14ac:dyDescent="0.2"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>
        <f>C$26*Sections!$R44+($C$1-Sections!$R44)</f>
        <v>0</v>
      </c>
      <c r="W102" s="29">
        <f>D$26*Sections!$R44+($C$1-Sections!$R44)</f>
        <v>4.8514589937413644E-2</v>
      </c>
      <c r="X102" s="29">
        <f>E$26*Sections!$R44+($C$1-Sections!$R44)</f>
        <v>0.1455437698122409</v>
      </c>
      <c r="Y102" s="29">
        <f>F$26*Sections!$R44+($C$1-Sections!$R44)</f>
        <v>0.24257294968706822</v>
      </c>
      <c r="Z102" s="29">
        <f>G$26*Sections!$R44+($C$1-Sections!$R44)</f>
        <v>0.3396021295618955</v>
      </c>
      <c r="AA102" s="29">
        <f>H$26*Sections!$R44+($C$1-Sections!$R44)</f>
        <v>0.48514589937413644</v>
      </c>
      <c r="AB102" s="29">
        <f>I$26*Sections!$R44+($C$1-Sections!$R44)</f>
        <v>0.72771884906120454</v>
      </c>
      <c r="AC102" s="29">
        <f>J$26*Sections!$R44+($C$1-Sections!$R44)</f>
        <v>0.97029179874827287</v>
      </c>
      <c r="AD102" s="29">
        <f>K$26*Sections!$R44+($C$1-Sections!$R44)</f>
        <v>1.4554376981224091</v>
      </c>
      <c r="AE102" s="29">
        <f>L$26*Sections!$R44+($C$1-Sections!$R44)</f>
        <v>1.9405835974965457</v>
      </c>
      <c r="AF102" s="29">
        <f>M$26*Sections!$R44+($C$1-Sections!$R44)</f>
        <v>2.425729496870682</v>
      </c>
      <c r="AG102" s="29">
        <f>N$26*Sections!$R44+($C$1-Sections!$R44)</f>
        <v>2.9108753962448182</v>
      </c>
      <c r="AH102" s="29">
        <f>O$26*Sections!$R44+($C$1-Sections!$R44)</f>
        <v>3.3960212956189544</v>
      </c>
      <c r="AI102" s="29">
        <f>P$26*Sections!$R44+($C$1-Sections!$R44)</f>
        <v>3.8811671949930915</v>
      </c>
      <c r="AJ102" s="29">
        <f>Q$26*Sections!$R44+($C$1-Sections!$R44)</f>
        <v>4.3663130943672277</v>
      </c>
      <c r="AK102" s="29">
        <f>R$26*Sections!$R44+($C$1-Sections!$R44)</f>
        <v>4.8514589937413639</v>
      </c>
      <c r="AL102" s="29">
        <f>(AM102+AK102)/2</f>
        <v>5.9036065540950489</v>
      </c>
      <c r="AM102" s="234">
        <f>(AO102+AK102)/2</f>
        <v>6.9557541144487338</v>
      </c>
      <c r="AN102" s="29">
        <f>(AO102+AM102)/2</f>
        <v>8.0079016748024188</v>
      </c>
      <c r="AO102" s="231">
        <f>(_xll.Spline('Profile Calcs'!$G$45:$G$65,'Profile Calcs'!$H$45:$H$65,Sections!A44,TRUE))</f>
        <v>9.0600492351561037</v>
      </c>
      <c r="AR102" s="29">
        <f>-(-4*AM105+3*AK105+AO105)*(AO102-AK102)*Sections!R44/Sections!Q44</f>
        <v>5.4580226747621907</v>
      </c>
      <c r="AS102" s="29">
        <f>-(-4*AM105+3*AK105+AO105)/(AO102-AK102)</f>
        <v>0.38723220587279106</v>
      </c>
      <c r="AT102" s="29">
        <f>DEGREES(ATAN((AM105-AK105)/(AM102-AK102)))</f>
        <v>14.18093076251955</v>
      </c>
      <c r="AU102" s="28">
        <f>((AX106-AX105)/AX106)/(AY106/Sections!$R$44)</f>
        <v>0.30814991189075958</v>
      </c>
      <c r="AV102" s="29">
        <f>AL102/COS(AT102*PI()/180)</f>
        <v>6.0891619538219732</v>
      </c>
      <c r="AW102" s="28">
        <f>AV102*SIN(AT102*PI()/180)</f>
        <v>1.4917516396233712</v>
      </c>
      <c r="AX102" s="29">
        <f>AL105-AW102</f>
        <v>4.9414088907748317</v>
      </c>
      <c r="AY102" s="28">
        <v>0</v>
      </c>
    </row>
    <row r="103" spans="1:51" x14ac:dyDescent="0.2">
      <c r="A103" s="28">
        <v>7</v>
      </c>
      <c r="B103" s="28" t="s">
        <v>104</v>
      </c>
      <c r="C103" s="29">
        <f>W$3+W$4*Sections!$F44+W$5*Sections!$G44+W$6*Sections!$H44</f>
        <v>0</v>
      </c>
      <c r="D103" s="29">
        <f>X$3+X$4*Sections!$F44+X$5*Sections!$G44+X$6*Sections!$H44</f>
        <v>0.25791393013584801</v>
      </c>
      <c r="E103" s="29">
        <f>Y$3+Y$4*Sections!$F44+Y$5*Sections!$G44+Y$6*Sections!$H44</f>
        <v>0.71229353040805743</v>
      </c>
      <c r="F103" s="29">
        <f>Z$3+Z$4*Sections!$F44+Z$5*Sections!$G44+Z$6*Sections!$H44</f>
        <v>1.0900939725559646</v>
      </c>
      <c r="G103" s="29">
        <f>AA$3+AA$4*Sections!$F44+AA$5*Sections!$G44+AA$6*Sections!$H44</f>
        <v>1.3975463820246388</v>
      </c>
      <c r="H103" s="29">
        <f>AB$3+AB$4*Sections!$F44+AB$5*Sections!$G44+AB$6*Sections!$H44</f>
        <v>1.7399155508512638</v>
      </c>
      <c r="I103" s="29">
        <f>AC$3+AC$4*Sections!$F44+AC$5*Sections!$G44+AC$6*Sections!$H44</f>
        <v>2.0408541698105198</v>
      </c>
      <c r="J103" s="29">
        <f>AD$3+AD$4*Sections!$F44+AD$5*Sections!$G44+AD$6*Sections!$H44</f>
        <v>2.0757679784232321</v>
      </c>
      <c r="K103" s="29">
        <f>AE$3+AE$4*Sections!$F44+AE$5*Sections!$G44+AE$6*Sections!$H44</f>
        <v>1.6362973308914297</v>
      </c>
      <c r="L103" s="29">
        <f>AF$3+AF$4*Sections!$F44+AF$5*Sections!$G44+AF$6*Sections!$H44</f>
        <v>0.91374308146943584</v>
      </c>
      <c r="M103" s="29">
        <f>AG$3+AG$4*Sections!$F44+AG$5*Sections!$G44+AG$6*Sections!$H44</f>
        <v>0.26384412840889859</v>
      </c>
      <c r="N103" s="29">
        <f>AH$3+AH$4*Sections!$F44+AH$5*Sections!$G44+AH$6*Sections!$H44</f>
        <v>-9.4161205000472759E-2</v>
      </c>
      <c r="O103" s="29">
        <f>AI$3+AI$4*Sections!$F44+AI$5*Sections!$G44+AI$6*Sections!$H44</f>
        <v>-7.7535170430916622E-2</v>
      </c>
      <c r="P103" s="29">
        <f>AJ$3+AJ$4*Sections!$F44+AJ$5*Sections!$G44+AJ$6*Sections!$H44</f>
        <v>0.25995940548340235</v>
      </c>
      <c r="Q103" s="29">
        <f>AK$3+AK$4*Sections!$F44+AK$5*Sections!$G44+AK$6*Sections!$H44</f>
        <v>0.72805912114638383</v>
      </c>
      <c r="R103" s="29">
        <v>1</v>
      </c>
      <c r="S103" s="29">
        <f>AM$3+AM$4*Sections!$F44+AM$5*Sections!$G44+AM$6*Sections!$H44</f>
        <v>0.61251749052425331</v>
      </c>
      <c r="T103" s="29">
        <f>AN$3+AN$4*Sections!$F44+AN$5*Sections!$G44+AN$6*Sections!$H44</f>
        <v>-1.0341535337627727</v>
      </c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34"/>
      <c r="AN103" s="29"/>
      <c r="AO103" s="231"/>
      <c r="AR103" s="29"/>
      <c r="AS103" s="29"/>
      <c r="AT103" s="29"/>
      <c r="AX103" s="29">
        <f>AL105</f>
        <v>6.4331605303982027</v>
      </c>
      <c r="AY103" s="29">
        <f>AL102</f>
        <v>5.9036065540950489</v>
      </c>
    </row>
    <row r="104" spans="1:51" x14ac:dyDescent="0.2">
      <c r="B104" s="28" t="s">
        <v>103</v>
      </c>
      <c r="C104" s="29">
        <f>Sections!$O44*C$13+Sections!$N44-Sections!$L44/(C$13+Sections!$M44)</f>
        <v>0</v>
      </c>
      <c r="D104" s="29">
        <f>Sections!$O44*D$13+Sections!$N44-Sections!$L44/(D$13+Sections!$M44)</f>
        <v>0.26856522722899012</v>
      </c>
      <c r="E104" s="29">
        <f>Sections!$O44*E$13+Sections!$N44-Sections!$L44/(E$13+Sections!$M44)</f>
        <v>0.46618567295714375</v>
      </c>
      <c r="F104" s="29">
        <f>Sections!$O44*F$13+Sections!$N44-Sections!$L44/(F$13+Sections!$M44)</f>
        <v>0.54925791456503659</v>
      </c>
      <c r="G104" s="29">
        <f>Sections!$O44*G$13+Sections!$N44-Sections!$L44/(G$13+Sections!$M44)</f>
        <v>0.5968366922120476</v>
      </c>
      <c r="H104" s="29">
        <f>Sections!$O44*H$13+Sections!$N44-Sections!$L44/(H$13+Sections!$M44)</f>
        <v>0.64149197542378944</v>
      </c>
      <c r="I104" s="29">
        <f>Sections!$O44*I$13+Sections!$N44-Sections!$L44/(I$13+Sections!$M44)</f>
        <v>0.68735413564460979</v>
      </c>
      <c r="J104" s="29">
        <f>Sections!$O44*J$13+Sections!$N44-Sections!$L44/(J$13+Sections!$M44)</f>
        <v>0.71890780699620682</v>
      </c>
      <c r="K104" s="29">
        <f>Sections!$O44*K$13+Sections!$N44-Sections!$L44/(K$13+Sections!$M44)</f>
        <v>0.76617726051973412</v>
      </c>
      <c r="L104" s="29">
        <f>Sections!$O44*L$13+Sections!$N44-Sections!$L44/(L$13+Sections!$M44)</f>
        <v>0.80499158227311729</v>
      </c>
      <c r="M104" s="29">
        <f>Sections!$O44*M$13+Sections!$N44-Sections!$L44/(M$13+Sections!$M44)</f>
        <v>0.84025762296486972</v>
      </c>
      <c r="N104" s="29">
        <f>Sections!$O44*N$13+Sections!$N44-Sections!$L44/(N$13+Sections!$M44)</f>
        <v>0.8737008130863767</v>
      </c>
      <c r="O104" s="29">
        <f>Sections!$O44*O$13+Sections!$N44-Sections!$L44/(O$13+Sections!$M44)</f>
        <v>0.90608391715783743</v>
      </c>
      <c r="P104" s="29">
        <f>Sections!$O44*P$13+Sections!$N44-Sections!$L44/(P$13+Sections!$M44)</f>
        <v>0.93779622501659932</v>
      </c>
      <c r="Q104" s="29">
        <f>Sections!$O44*Q$13+Sections!$N44-Sections!$L44/(Q$13+Sections!$M44)</f>
        <v>0.96905720491140179</v>
      </c>
      <c r="R104" s="29">
        <v>1</v>
      </c>
      <c r="S104" s="29">
        <f>Sections!$O44*S$13+Sections!$N44-Sections!$L44/(S$13+Sections!$M44)</f>
        <v>1.0307100719714779</v>
      </c>
      <c r="T104" s="29">
        <f>Sections!$O44*T$13+Sections!$N44-Sections!$L44/(T$13+Sections!$M44)</f>
        <v>1.0612447917949885</v>
      </c>
      <c r="U104" s="36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34"/>
      <c r="AN104" s="29"/>
      <c r="AO104" s="231"/>
      <c r="AR104" s="29"/>
      <c r="AS104" s="29"/>
      <c r="AT104" s="29"/>
      <c r="AV104" s="38"/>
      <c r="AW104" s="38"/>
      <c r="AX104" s="38"/>
      <c r="AY104" s="38"/>
    </row>
    <row r="105" spans="1:51" x14ac:dyDescent="0.2">
      <c r="C105" s="29">
        <f>IF(Sections!$B44&lt;0.72,C103,C104)</f>
        <v>0</v>
      </c>
      <c r="D105" s="29">
        <f>IF(Sections!$B44&lt;0.72,D103,D104)</f>
        <v>0.26856522722899012</v>
      </c>
      <c r="E105" s="29">
        <f>IF(Sections!$B44&lt;0.72,E103,E104)</f>
        <v>0.46618567295714375</v>
      </c>
      <c r="F105" s="29">
        <f>IF(Sections!$B44&lt;0.72,F103,F104)</f>
        <v>0.54925791456503659</v>
      </c>
      <c r="G105" s="29">
        <f>IF(Sections!$B44&lt;0.72,G103,G104)</f>
        <v>0.5968366922120476</v>
      </c>
      <c r="H105" s="29">
        <f>IF(Sections!$B44&lt;0.72,H103,H104)</f>
        <v>0.64149197542378944</v>
      </c>
      <c r="I105" s="29">
        <f>IF(Sections!$B44&lt;0.72,I103,I104)</f>
        <v>0.68735413564460979</v>
      </c>
      <c r="J105" s="29">
        <f>IF(Sections!$B44&lt;0.72,J103,J104)</f>
        <v>0.71890780699620682</v>
      </c>
      <c r="K105" s="29">
        <f>IF(Sections!$B44&lt;0.72,K103,K104)</f>
        <v>0.76617726051973412</v>
      </c>
      <c r="L105" s="29">
        <f>IF(Sections!$B44&lt;0.72,L103,L104)</f>
        <v>0.80499158227311729</v>
      </c>
      <c r="M105" s="29">
        <f>IF(Sections!$B44&lt;0.72,M103,M104)</f>
        <v>0.84025762296486972</v>
      </c>
      <c r="N105" s="29">
        <f>IF(Sections!$B44&lt;0.72,N103,N104)</f>
        <v>0.8737008130863767</v>
      </c>
      <c r="O105" s="29">
        <f>IF(Sections!$B44&lt;0.72,O103,O104)</f>
        <v>0.90608391715783743</v>
      </c>
      <c r="P105" s="29">
        <f>IF(Sections!$B44&lt;0.72,P103,P104)</f>
        <v>0.93779622501659932</v>
      </c>
      <c r="Q105" s="29">
        <f>IF(Sections!$B44&lt;0.72,Q103,Q104)</f>
        <v>0.96905720491140179</v>
      </c>
      <c r="R105" s="29">
        <v>1</v>
      </c>
      <c r="S105" s="29">
        <f>IF(Sections!$B44&lt;0.72,S103,S104)</f>
        <v>1.0307100719714779</v>
      </c>
      <c r="T105" s="29">
        <f>IF(Sections!$B44&lt;0.72,T103,T104)</f>
        <v>1.0612447917949885</v>
      </c>
      <c r="U105" s="29"/>
      <c r="V105" s="29">
        <f>C105*Sections!$Q44</f>
        <v>0</v>
      </c>
      <c r="W105" s="29">
        <f>D105*Sections!$Q44</f>
        <v>1.6373124659651261</v>
      </c>
      <c r="X105" s="29">
        <f>E105*Sections!$Q44</f>
        <v>2.8421088674158774</v>
      </c>
      <c r="Y105" s="29">
        <f>F105*Sections!$Q44</f>
        <v>3.3485601983035407</v>
      </c>
      <c r="Z105" s="29">
        <f>G105*Sections!$Q44</f>
        <v>3.638625023748765</v>
      </c>
      <c r="AA105" s="29">
        <f>H105*Sections!$Q44</f>
        <v>3.9108667157510117</v>
      </c>
      <c r="AB105" s="29">
        <f>I105*Sections!$Q44</f>
        <v>4.1904661539225572</v>
      </c>
      <c r="AC105" s="29">
        <f>J105*Sections!$Q44</f>
        <v>4.3828336468552376</v>
      </c>
      <c r="AD105" s="29">
        <f>K105*Sections!$Q44</f>
        <v>4.6710126725317087</v>
      </c>
      <c r="AE105" s="29">
        <f>L105*Sections!$Q44</f>
        <v>4.9076448438686526</v>
      </c>
      <c r="AF105" s="29">
        <f>M105*Sections!$Q44</f>
        <v>5.1226448594909533</v>
      </c>
      <c r="AG105" s="29">
        <f>N105*Sections!$Q44</f>
        <v>5.3265318356738272</v>
      </c>
      <c r="AH105" s="29">
        <f>O105*Sections!$Q44</f>
        <v>5.5239559792605188</v>
      </c>
      <c r="AI105" s="29">
        <f>P105*Sections!$Q44</f>
        <v>5.7172906023515528</v>
      </c>
      <c r="AJ105" s="29">
        <f>Q105*Sections!$Q44</f>
        <v>5.9078736968502445</v>
      </c>
      <c r="AK105" s="29">
        <f>R105*Sections!$Q44</f>
        <v>6.0965169722775912</v>
      </c>
      <c r="AL105" s="29">
        <f>(2*AO105+2*AK105-4*AM105)*0.25^2+(4*AM105-3*AK105-AO105)*0.25+AK105</f>
        <v>6.4331605303982027</v>
      </c>
      <c r="AM105" s="234">
        <f>_xll.Spline('Mid Upr WL Opt1 Calcs'!$O$24:$O$44,'Cxx Selected'!$I$77:$I$97,Sections!A44,TRUE)</f>
        <v>6.6282403633611731</v>
      </c>
      <c r="AN105" s="29">
        <f>(2*AO105+2*AK105-4*AM105)*0.75^2+(4*AM105-3*AK105-AO105)*0.75+AK105</f>
        <v>6.6817564711665014</v>
      </c>
      <c r="AO105" s="231">
        <f>_xll.Spline('CWD Opt1 Calcs'!$J$26:$J$46,'Cxx Selected'!$I$52:$I$72,Sections!A44,TRUE)</f>
        <v>6.5937088538141868</v>
      </c>
      <c r="AR105" s="29"/>
      <c r="AS105" s="29"/>
      <c r="AT105" s="29"/>
      <c r="AV105" s="38"/>
      <c r="AW105" s="38"/>
      <c r="AX105" s="36">
        <f>AK105-AS102*AK102</f>
        <v>4.2178758044297311</v>
      </c>
      <c r="AY105" s="38">
        <v>0</v>
      </c>
    </row>
    <row r="106" spans="1:51" x14ac:dyDescent="0.2"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34"/>
      <c r="AN106" s="29"/>
      <c r="AO106" s="231"/>
      <c r="AR106" s="29"/>
      <c r="AS106" s="29"/>
      <c r="AT106" s="29"/>
      <c r="AV106" s="38"/>
      <c r="AW106" s="38"/>
      <c r="AX106" s="36">
        <f>AK105</f>
        <v>6.0965169722775912</v>
      </c>
      <c r="AY106" s="36">
        <f>AK102</f>
        <v>4.8514589937413639</v>
      </c>
    </row>
    <row r="107" spans="1:51" x14ac:dyDescent="0.2"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>
        <f>C$26*Sections!$R45+($C$1-Sections!$R45)</f>
        <v>0</v>
      </c>
      <c r="W107" s="29">
        <f>D$26*Sections!$R45+($C$1-Sections!$R45)</f>
        <v>4.8514589937413644E-2</v>
      </c>
      <c r="X107" s="29">
        <f>E$26*Sections!$R45+($C$1-Sections!$R45)</f>
        <v>0.1455437698122409</v>
      </c>
      <c r="Y107" s="29">
        <f>F$26*Sections!$R45+($C$1-Sections!$R45)</f>
        <v>0.24257294968706822</v>
      </c>
      <c r="Z107" s="29">
        <f>G$26*Sections!$R45+($C$1-Sections!$R45)</f>
        <v>0.3396021295618955</v>
      </c>
      <c r="AA107" s="29">
        <f>H$26*Sections!$R45+($C$1-Sections!$R45)</f>
        <v>0.48514589937413644</v>
      </c>
      <c r="AB107" s="29">
        <f>I$26*Sections!$R45+($C$1-Sections!$R45)</f>
        <v>0.72771884906120454</v>
      </c>
      <c r="AC107" s="29">
        <f>J$26*Sections!$R45+($C$1-Sections!$R45)</f>
        <v>0.97029179874827287</v>
      </c>
      <c r="AD107" s="29">
        <f>K$26*Sections!$R45+($C$1-Sections!$R45)</f>
        <v>1.4554376981224091</v>
      </c>
      <c r="AE107" s="29">
        <f>L$26*Sections!$R45+($C$1-Sections!$R45)</f>
        <v>1.9405835974965457</v>
      </c>
      <c r="AF107" s="29">
        <f>M$26*Sections!$R45+($C$1-Sections!$R45)</f>
        <v>2.425729496870682</v>
      </c>
      <c r="AG107" s="29">
        <f>N$26*Sections!$R45+($C$1-Sections!$R45)</f>
        <v>2.9108753962448182</v>
      </c>
      <c r="AH107" s="29">
        <f>O$26*Sections!$R45+($C$1-Sections!$R45)</f>
        <v>3.3960212956189544</v>
      </c>
      <c r="AI107" s="29">
        <f>P$26*Sections!$R45+($C$1-Sections!$R45)</f>
        <v>3.8811671949930915</v>
      </c>
      <c r="AJ107" s="29">
        <f>Q$26*Sections!$R45+($C$1-Sections!$R45)</f>
        <v>4.3663130943672277</v>
      </c>
      <c r="AK107" s="29">
        <f>R$26*Sections!$R45+($C$1-Sections!$R45)</f>
        <v>4.8514589937413639</v>
      </c>
      <c r="AL107" s="29">
        <f>(AM107+AK107)/2</f>
        <v>5.9364157075602337</v>
      </c>
      <c r="AM107" s="234">
        <f>(AO107+AK107)/2</f>
        <v>7.0213724213791036</v>
      </c>
      <c r="AN107" s="29">
        <f>(AO107+AM107)/2</f>
        <v>8.1063291351979743</v>
      </c>
      <c r="AO107" s="231">
        <f>(_xll.Spline('Profile Calcs'!$G$45:$G$65,'Profile Calcs'!$H$45:$H$65,Sections!A45,TRUE))</f>
        <v>9.1912858490168432</v>
      </c>
      <c r="AR107" s="29">
        <f>-(-4*AM110+3*AK110+AO110)*(AO107-AK107)*Sections!R45/Sections!Q45</f>
        <v>7.1960392025512254</v>
      </c>
      <c r="AS107" s="29">
        <f>-(-4*AM110+3*AK110+AO110)/(AO107-AK107)</f>
        <v>0.43569455465108275</v>
      </c>
      <c r="AT107" s="29">
        <f>DEGREES(ATAN((AM110-AK110)/(AM107-AK107)))</f>
        <v>16.822258178207694</v>
      </c>
      <c r="AU107" s="28">
        <f>((AX111-AX110)/AX111)/(AY111/Sections!$R$45)</f>
        <v>0.38207508177540683</v>
      </c>
      <c r="AV107" s="29">
        <f>AL107/COS(AT107*PI()/180)</f>
        <v>6.2018088279852304</v>
      </c>
      <c r="AW107" s="28">
        <f>AV107*SIN(AT107*PI()/180)</f>
        <v>1.7948262550753111</v>
      </c>
      <c r="AX107" s="29">
        <f>AL110-AW107</f>
        <v>4.1378432225041628</v>
      </c>
      <c r="AY107" s="28">
        <v>0</v>
      </c>
    </row>
    <row r="108" spans="1:51" x14ac:dyDescent="0.2">
      <c r="A108" s="28">
        <v>6</v>
      </c>
      <c r="B108" s="28" t="s">
        <v>104</v>
      </c>
      <c r="C108" s="29">
        <f>W$3+W$4*Sections!$F45+W$5*Sections!$G45+W$6*Sections!$H45</f>
        <v>0</v>
      </c>
      <c r="D108" s="29">
        <f>X$3+X$4*Sections!$F45+X$5*Sections!$G45+X$6*Sections!$H45</f>
        <v>0.31375433620019533</v>
      </c>
      <c r="E108" s="29">
        <f>Y$3+Y$4*Sections!$F45+Y$5*Sections!$G45+Y$6*Sections!$H45</f>
        <v>0.86450663437969433</v>
      </c>
      <c r="F108" s="29">
        <f>Z$3+Z$4*Sections!$F45+Z$5*Sections!$G45+Z$6*Sections!$H45</f>
        <v>1.3196649520301496</v>
      </c>
      <c r="G108" s="29">
        <f>AA$3+AA$4*Sections!$F45+AA$5*Sections!$G45+AA$6*Sections!$H45</f>
        <v>1.6870846367753054</v>
      </c>
      <c r="H108" s="29">
        <f>AB$3+AB$4*Sections!$F45+AB$5*Sections!$G45+AB$6*Sections!$H45</f>
        <v>2.0902069656058364</v>
      </c>
      <c r="I108" s="29">
        <f>AC$3+AC$4*Sections!$F45+AC$5*Sections!$G45+AC$6*Sections!$H45</f>
        <v>2.4268010193846581</v>
      </c>
      <c r="J108" s="29">
        <f>AD$3+AD$4*Sections!$F45+AD$5*Sections!$G45+AD$6*Sections!$H45</f>
        <v>2.4338151949336178</v>
      </c>
      <c r="K108" s="29">
        <f>AE$3+AE$4*Sections!$F45+AE$5*Sections!$G45+AE$6*Sections!$H45</f>
        <v>1.8225417521570217</v>
      </c>
      <c r="L108" s="29">
        <f>AF$3+AF$4*Sections!$F45+AF$5*Sections!$G45+AF$6*Sections!$H45</f>
        <v>0.87519334800025805</v>
      </c>
      <c r="M108" s="29">
        <f>AG$3+AG$4*Sections!$F45+AG$5*Sections!$G45+AG$6*Sections!$H45</f>
        <v>3.7666339738080756E-2</v>
      </c>
      <c r="N108" s="29">
        <f>AH$3+AH$4*Sections!$F45+AH$5*Sections!$G45+AH$6*Sections!$H45</f>
        <v>-0.41705326880421767</v>
      </c>
      <c r="O108" s="29">
        <f>AI$3+AI$4*Sections!$F45+AI$5*Sections!$G45+AI$6*Sections!$H45</f>
        <v>-0.38888982725081855</v>
      </c>
      <c r="P108" s="29">
        <f>AJ$3+AJ$4*Sections!$F45+AJ$5*Sections!$G45+AJ$6*Sections!$H45</f>
        <v>4.932196132464961E-2</v>
      </c>
      <c r="Q108" s="29">
        <f>AK$3+AK$4*Sections!$F45+AK$5*Sections!$G45+AK$6*Sections!$H45</f>
        <v>0.65183704039910273</v>
      </c>
      <c r="R108" s="29">
        <v>1</v>
      </c>
      <c r="S108" s="29">
        <f>AM$3+AM$4*Sections!$F45+AM$5*Sections!$G45+AM$6*Sections!$H45</f>
        <v>0.5022450767053106</v>
      </c>
      <c r="T108" s="29">
        <f>AN$3+AN$4*Sections!$F45+AN$5*Sections!$G45+AN$6*Sections!$H45</f>
        <v>-1.6059038463564455</v>
      </c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34"/>
      <c r="AN108" s="29"/>
      <c r="AO108" s="231"/>
      <c r="AR108" s="29"/>
      <c r="AS108" s="29"/>
      <c r="AT108" s="29"/>
      <c r="AX108" s="29">
        <f>AL110</f>
        <v>5.9326694775794735</v>
      </c>
      <c r="AY108" s="29">
        <f>AL107</f>
        <v>5.9364157075602337</v>
      </c>
    </row>
    <row r="109" spans="1:51" x14ac:dyDescent="0.2">
      <c r="B109" s="28" t="s">
        <v>103</v>
      </c>
      <c r="C109" s="29">
        <f>Sections!$O45*C$13+Sections!$N45-Sections!$L45/(C$13+Sections!$M45)</f>
        <v>0</v>
      </c>
      <c r="D109" s="29">
        <f>Sections!$O45*D$13+Sections!$N45-Sections!$L45/(D$13+Sections!$M45)</f>
        <v>0.32706396101651208</v>
      </c>
      <c r="E109" s="29">
        <f>Sections!$O45*E$13+Sections!$N45-Sections!$L45/(E$13+Sections!$M45)</f>
        <v>0.48981354927255411</v>
      </c>
      <c r="F109" s="29">
        <f>Sections!$O45*F$13+Sections!$N45-Sections!$L45/(F$13+Sections!$M45)</f>
        <v>0.54816957379917552</v>
      </c>
      <c r="G109" s="29">
        <f>Sections!$O45*G$13+Sections!$N45-Sections!$L45/(G$13+Sections!$M45)</f>
        <v>0.58094250351571153</v>
      </c>
      <c r="H109" s="29">
        <f>Sections!$O45*H$13+Sections!$N45-Sections!$L45/(H$13+Sections!$M45)</f>
        <v>0.61280472676200848</v>
      </c>
      <c r="I109" s="29">
        <f>Sections!$O45*I$13+Sections!$N45-Sections!$L45/(I$13+Sections!$M45)</f>
        <v>0.64870581680874329</v>
      </c>
      <c r="J109" s="29">
        <f>Sections!$O45*J$13+Sections!$N45-Sections!$L45/(J$13+Sections!$M45)</f>
        <v>0.6764484248167798</v>
      </c>
      <c r="K109" s="29">
        <f>Sections!$O45*K$13+Sections!$N45-Sections!$L45/(K$13+Sections!$M45)</f>
        <v>0.72327549419361503</v>
      </c>
      <c r="L109" s="29">
        <f>Sections!$O45*L$13+Sections!$N45-Sections!$L45/(L$13+Sections!$M45)</f>
        <v>0.76560650359936899</v>
      </c>
      <c r="M109" s="29">
        <f>Sections!$O45*M$13+Sections!$N45-Sections!$L45/(M$13+Sections!$M45)</f>
        <v>0.80608890951716139</v>
      </c>
      <c r="N109" s="29">
        <f>Sections!$O45*N$13+Sections!$N45-Sections!$L45/(N$13+Sections!$M45)</f>
        <v>0.84563264146610762</v>
      </c>
      <c r="O109" s="29">
        <f>Sections!$O45*O$13+Sections!$N45-Sections!$L45/(O$13+Sections!$M45)</f>
        <v>0.88463461466676863</v>
      </c>
      <c r="P109" s="29">
        <f>Sections!$O45*P$13+Sections!$N45-Sections!$L45/(P$13+Sections!$M45)</f>
        <v>0.92329561016579398</v>
      </c>
      <c r="Q109" s="29">
        <f>Sections!$O45*Q$13+Sections!$N45-Sections!$L45/(Q$13+Sections!$M45)</f>
        <v>0.96172810284576882</v>
      </c>
      <c r="R109" s="29">
        <v>1</v>
      </c>
      <c r="S109" s="29">
        <f>Sections!$O45*S$13+Sections!$N45-Sections!$L45/(S$13+Sections!$M45)</f>
        <v>1.0381547262879682</v>
      </c>
      <c r="T109" s="29">
        <f>Sections!$O45*T$13+Sections!$N45-Sections!$L45/(T$13+Sections!$M45)</f>
        <v>1.076221344901469</v>
      </c>
      <c r="U109" s="36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34"/>
      <c r="AN109" s="29"/>
      <c r="AO109" s="231"/>
      <c r="AR109" s="29"/>
      <c r="AS109" s="29"/>
      <c r="AT109" s="29"/>
      <c r="AV109" s="38"/>
      <c r="AW109" s="38"/>
      <c r="AX109" s="38"/>
      <c r="AY109" s="38"/>
    </row>
    <row r="110" spans="1:51" x14ac:dyDescent="0.2">
      <c r="C110" s="29">
        <f>IF(Sections!$B45&lt;0.72,C108,C109)</f>
        <v>0</v>
      </c>
      <c r="D110" s="29">
        <f>IF(Sections!$B45&lt;0.72,D108,D109)</f>
        <v>0.32706396101651208</v>
      </c>
      <c r="E110" s="29">
        <f>IF(Sections!$B45&lt;0.72,E108,E109)</f>
        <v>0.48981354927255411</v>
      </c>
      <c r="F110" s="29">
        <f>IF(Sections!$B45&lt;0.72,F108,F109)</f>
        <v>0.54816957379917552</v>
      </c>
      <c r="G110" s="29">
        <f>IF(Sections!$B45&lt;0.72,G108,G109)</f>
        <v>0.58094250351571153</v>
      </c>
      <c r="H110" s="29">
        <f>IF(Sections!$B45&lt;0.72,H108,H109)</f>
        <v>0.61280472676200848</v>
      </c>
      <c r="I110" s="29">
        <f>IF(Sections!$B45&lt;0.72,I108,I109)</f>
        <v>0.64870581680874329</v>
      </c>
      <c r="J110" s="29">
        <f>IF(Sections!$B45&lt;0.72,J108,J109)</f>
        <v>0.6764484248167798</v>
      </c>
      <c r="K110" s="29">
        <f>IF(Sections!$B45&lt;0.72,K108,K109)</f>
        <v>0.72327549419361503</v>
      </c>
      <c r="L110" s="29">
        <f>IF(Sections!$B45&lt;0.72,L108,L109)</f>
        <v>0.76560650359936899</v>
      </c>
      <c r="M110" s="29">
        <f>IF(Sections!$B45&lt;0.72,M108,M109)</f>
        <v>0.80608890951716139</v>
      </c>
      <c r="N110" s="29">
        <f>IF(Sections!$B45&lt;0.72,N108,N109)</f>
        <v>0.84563264146610762</v>
      </c>
      <c r="O110" s="29">
        <f>IF(Sections!$B45&lt;0.72,O108,O109)</f>
        <v>0.88463461466676863</v>
      </c>
      <c r="P110" s="29">
        <f>IF(Sections!$B45&lt;0.72,P108,P109)</f>
        <v>0.92329561016579398</v>
      </c>
      <c r="Q110" s="29">
        <f>IF(Sections!$B45&lt;0.72,Q108,Q109)</f>
        <v>0.96172810284576882</v>
      </c>
      <c r="R110" s="29">
        <v>1</v>
      </c>
      <c r="S110" s="29">
        <f>IF(Sections!$B45&lt;0.72,S108,S109)</f>
        <v>1.0381547262879682</v>
      </c>
      <c r="T110" s="29">
        <f>IF(Sections!$B45&lt;0.72,T108,T109)</f>
        <v>1.076221344901469</v>
      </c>
      <c r="U110" s="29"/>
      <c r="V110" s="29">
        <f>C110*Sections!$Q45</f>
        <v>0</v>
      </c>
      <c r="W110" s="29">
        <f>D110*Sections!$Q45</f>
        <v>1.8094162004452263</v>
      </c>
      <c r="X110" s="29">
        <f>E110*Sections!$Q45</f>
        <v>2.7097958714154724</v>
      </c>
      <c r="Y110" s="29">
        <f>F110*Sections!$Q45</f>
        <v>3.0326389503162288</v>
      </c>
      <c r="Z110" s="29">
        <f>G110*Sections!$Q45</f>
        <v>3.2139486543290143</v>
      </c>
      <c r="AA110" s="29">
        <f>H110*Sections!$Q45</f>
        <v>3.3902200562433991</v>
      </c>
      <c r="AB110" s="29">
        <f>I110*Sections!$Q45</f>
        <v>3.5888356840316447</v>
      </c>
      <c r="AC110" s="29">
        <f>J110*Sections!$Q45</f>
        <v>3.742316135428148</v>
      </c>
      <c r="AD110" s="29">
        <f>K110*Sections!$Q45</f>
        <v>4.0013775669795768</v>
      </c>
      <c r="AE110" s="29">
        <f>L110*Sections!$Q45</f>
        <v>4.2355654425312448</v>
      </c>
      <c r="AF110" s="29">
        <f>M110*Sections!$Q45</f>
        <v>4.4595262875995738</v>
      </c>
      <c r="AG110" s="29">
        <f>N110*Sections!$Q45</f>
        <v>4.6782941059556737</v>
      </c>
      <c r="AH110" s="29">
        <f>O110*Sections!$Q45</f>
        <v>4.8940647519763267</v>
      </c>
      <c r="AI110" s="29">
        <f>P110*Sections!$Q45</f>
        <v>5.1079490067987185</v>
      </c>
      <c r="AJ110" s="29">
        <f>Q110*Sections!$Q45</f>
        <v>5.3205691153013746</v>
      </c>
      <c r="AK110" s="29">
        <f>R110*Sections!$Q45</f>
        <v>5.5323007610547359</v>
      </c>
      <c r="AL110" s="29">
        <f>(2*AO110+2*AK110-4*AM110)*0.25^2+(4*AM110-3*AK110-AO110)*0.25+AK110</f>
        <v>5.9326694775794735</v>
      </c>
      <c r="AM110" s="234">
        <f>_xll.Spline('Mid Upr WL Opt1 Calcs'!$O$24:$O$44,'Cxx Selected'!$I$77:$I$97,Sections!A45,TRUE)</f>
        <v>6.188356162667656</v>
      </c>
      <c r="AN110" s="29">
        <f>(2*AO110+2*AK110-4*AM110)*0.75^2+(4*AM110-3*AK110-AO110)*0.75+AK110</f>
        <v>6.2993608163192825</v>
      </c>
      <c r="AO110" s="231">
        <f>_xll.Spline('CWD Opt1 Calcs'!$J$26:$J$46,'Cxx Selected'!$I$52:$I$72,Sections!A45,TRUE)</f>
        <v>6.2656834385343565</v>
      </c>
      <c r="AR110" s="29"/>
      <c r="AS110" s="29"/>
      <c r="AT110" s="29"/>
      <c r="AV110" s="38"/>
      <c r="AW110" s="38"/>
      <c r="AX110" s="36">
        <f>AK110-AS107*AK107</f>
        <v>3.4185464953686022</v>
      </c>
      <c r="AY110" s="38">
        <v>0</v>
      </c>
    </row>
    <row r="111" spans="1:51" x14ac:dyDescent="0.2"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34"/>
      <c r="AN111" s="29"/>
      <c r="AO111" s="231"/>
      <c r="AR111" s="29"/>
      <c r="AS111" s="29"/>
      <c r="AT111" s="29"/>
      <c r="AV111" s="38"/>
      <c r="AW111" s="38"/>
      <c r="AX111" s="36">
        <f>AK110</f>
        <v>5.5323007610547359</v>
      </c>
      <c r="AY111" s="36">
        <f>AK107</f>
        <v>4.8514589937413639</v>
      </c>
    </row>
    <row r="112" spans="1:51" x14ac:dyDescent="0.2"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>
        <f>C$26*Sections!$R46+($C$1-Sections!$R46)</f>
        <v>0</v>
      </c>
      <c r="W112" s="29">
        <f>D$26*Sections!$R46+($C$1-Sections!$R46)</f>
        <v>4.8514589937413644E-2</v>
      </c>
      <c r="X112" s="29">
        <f>E$26*Sections!$R46+($C$1-Sections!$R46)</f>
        <v>0.1455437698122409</v>
      </c>
      <c r="Y112" s="29">
        <f>F$26*Sections!$R46+($C$1-Sections!$R46)</f>
        <v>0.24257294968706822</v>
      </c>
      <c r="Z112" s="29">
        <f>G$26*Sections!$R46+($C$1-Sections!$R46)</f>
        <v>0.3396021295618955</v>
      </c>
      <c r="AA112" s="29">
        <f>H$26*Sections!$R46+($C$1-Sections!$R46)</f>
        <v>0.48514589937413644</v>
      </c>
      <c r="AB112" s="29">
        <f>I$26*Sections!$R46+($C$1-Sections!$R46)</f>
        <v>0.72771884906120454</v>
      </c>
      <c r="AC112" s="29">
        <f>J$26*Sections!$R46+($C$1-Sections!$R46)</f>
        <v>0.97029179874827287</v>
      </c>
      <c r="AD112" s="29">
        <f>K$26*Sections!$R46+($C$1-Sections!$R46)</f>
        <v>1.4554376981224091</v>
      </c>
      <c r="AE112" s="29">
        <f>L$26*Sections!$R46+($C$1-Sections!$R46)</f>
        <v>1.9405835974965457</v>
      </c>
      <c r="AF112" s="29">
        <f>M$26*Sections!$R46+($C$1-Sections!$R46)</f>
        <v>2.425729496870682</v>
      </c>
      <c r="AG112" s="29">
        <f>N$26*Sections!$R46+($C$1-Sections!$R46)</f>
        <v>2.9108753962448182</v>
      </c>
      <c r="AH112" s="29">
        <f>O$26*Sections!$R46+($C$1-Sections!$R46)</f>
        <v>3.3960212956189544</v>
      </c>
      <c r="AI112" s="29">
        <f>P$26*Sections!$R46+($C$1-Sections!$R46)</f>
        <v>3.8811671949930915</v>
      </c>
      <c r="AJ112" s="29">
        <f>Q$26*Sections!$R46+($C$1-Sections!$R46)</f>
        <v>4.3663130943672277</v>
      </c>
      <c r="AK112" s="29">
        <f>R$26*Sections!$R46+($C$1-Sections!$R46)</f>
        <v>4.8514589937413639</v>
      </c>
      <c r="AL112" s="29">
        <f>(AM112+AK112)/2</f>
        <v>5.9826194095239069</v>
      </c>
      <c r="AM112" s="234">
        <f>(AO112+AK112)/2</f>
        <v>7.1137798253064499</v>
      </c>
      <c r="AN112" s="29">
        <f>(AO112+AM112)/2</f>
        <v>8.2449402410889938</v>
      </c>
      <c r="AO112" s="231">
        <f>(_xll.Spline('Profile Calcs'!$G$45:$G$65,'Profile Calcs'!$H$45:$H$65,Sections!A46,TRUE))</f>
        <v>9.3761006568715359</v>
      </c>
      <c r="AR112" s="29">
        <f>-(-4*AM115+3*AK115+AO115)*(AO112-AK112)*Sections!R46/Sections!Q46</f>
        <v>8.7244190659734659</v>
      </c>
      <c r="AS112" s="29">
        <f>-(-4*AM115+3*AK115+AO115)/(AO112-AK112)</f>
        <v>0.42642805913910997</v>
      </c>
      <c r="AT112" s="29">
        <f>DEGREES(ATAN((AM115-AK115)/(AM112-AK112)))</f>
        <v>17.820459955976261</v>
      </c>
      <c r="AU112" s="28">
        <f>((AX116-AX115)/AX116)/(AY116/Sections!$R$46)</f>
        <v>0.42615553917365823</v>
      </c>
      <c r="AV112" s="29">
        <f>AL112/COS(AT112*PI()/180)</f>
        <v>6.2841309425720944</v>
      </c>
      <c r="AW112" s="28">
        <f>AV112*SIN(AT112*PI()/180)</f>
        <v>1.9231658025713378</v>
      </c>
      <c r="AX112" s="29">
        <f>AL115-AW112</f>
        <v>3.3543856442824649</v>
      </c>
      <c r="AY112" s="28">
        <v>0</v>
      </c>
    </row>
    <row r="113" spans="1:51" x14ac:dyDescent="0.2">
      <c r="A113" s="28">
        <v>5</v>
      </c>
      <c r="B113" s="28" t="s">
        <v>104</v>
      </c>
      <c r="C113" s="29">
        <f>W$3+W$4*Sections!$F46+W$5*Sections!$G46+W$6*Sections!$H46</f>
        <v>0</v>
      </c>
      <c r="D113" s="29">
        <f>X$3+X$4*Sections!$F46+X$5*Sections!$G46+X$6*Sections!$H46</f>
        <v>0.16621917385894827</v>
      </c>
      <c r="E113" s="29">
        <f>Y$3+Y$4*Sections!$F46+Y$5*Sections!$G46+Y$6*Sections!$H46</f>
        <v>0.46077424170120101</v>
      </c>
      <c r="F113" s="29">
        <f>Z$3+Z$4*Sections!$F46+Z$5*Sections!$G46+Z$6*Sections!$H46</f>
        <v>0.70808219560850372</v>
      </c>
      <c r="G113" s="29">
        <f>AA$3+AA$4*Sections!$F46+AA$5*Sections!$G46+AA$6*Sections!$H46</f>
        <v>0.91194382896511084</v>
      </c>
      <c r="H113" s="29">
        <f>AB$3+AB$4*Sections!$F46+AB$5*Sections!$G46+AB$6*Sections!$H46</f>
        <v>1.1442626449787954</v>
      </c>
      <c r="I113" s="29">
        <f>AC$3+AC$4*Sections!$F46+AC$5*Sections!$G46+AC$6*Sections!$H46</f>
        <v>1.3643063167762157</v>
      </c>
      <c r="J113" s="29">
        <f>AD$3+AD$4*Sections!$F46+AD$5*Sections!$G46+AD$6*Sections!$H46</f>
        <v>1.4188032825752082</v>
      </c>
      <c r="K113" s="29">
        <f>AE$3+AE$4*Sections!$F46+AE$5*Sections!$G46+AE$6*Sections!$H46</f>
        <v>1.2076428970211985</v>
      </c>
      <c r="L113" s="29">
        <f>AF$3+AF$4*Sections!$F46+AF$5*Sections!$G46+AF$6*Sections!$H46</f>
        <v>0.81200411909436154</v>
      </c>
      <c r="M113" s="29">
        <f>AG$3+AG$4*Sections!$F46+AG$5*Sections!$G46+AG$6*Sections!$H46</f>
        <v>0.45031122611793517</v>
      </c>
      <c r="N113" s="29">
        <f>AH$3+AH$4*Sections!$F46+AH$5*Sections!$G46+AH$6*Sections!$H46</f>
        <v>0.25819014196079659</v>
      </c>
      <c r="O113" s="29">
        <f>AI$3+AI$4*Sections!$F46+AI$5*Sections!$G46+AI$6*Sections!$H46</f>
        <v>0.28846843703745595</v>
      </c>
      <c r="P113" s="29">
        <f>AJ$3+AJ$4*Sections!$F46+AJ$5*Sections!$G46+AJ$6*Sections!$H46</f>
        <v>0.51117532830807055</v>
      </c>
      <c r="Q113" s="29">
        <f>AK$3+AK$4*Sections!$F46+AK$5*Sections!$G46+AK$6*Sections!$H46</f>
        <v>0.8135416792784359</v>
      </c>
      <c r="R113" s="29">
        <v>1</v>
      </c>
      <c r="S113" s="29">
        <f>AM$3+AM$4*Sections!$F46+AM$5*Sections!$G46+AM$6*Sections!$H46</f>
        <v>0.79218444706982072</v>
      </c>
      <c r="T113" s="29">
        <f>AN$3+AN$4*Sections!$F46+AN$5*Sections!$G46+AN$6*Sections!$H46</f>
        <v>-0.1710691763693839</v>
      </c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34"/>
      <c r="AN113" s="29"/>
      <c r="AO113" s="231"/>
      <c r="AR113" s="29"/>
      <c r="AS113" s="29"/>
      <c r="AT113" s="29"/>
      <c r="AX113" s="29">
        <f>AL115</f>
        <v>5.2775514468538027</v>
      </c>
      <c r="AY113" s="29">
        <f>AL112</f>
        <v>5.9826194095239069</v>
      </c>
    </row>
    <row r="114" spans="1:51" x14ac:dyDescent="0.2">
      <c r="B114" s="28" t="s">
        <v>103</v>
      </c>
      <c r="C114" s="29">
        <f>Sections!$O46*C$13+Sections!$N46-Sections!$L46/(C$13+Sections!$M46)</f>
        <v>0</v>
      </c>
      <c r="D114" s="29">
        <f>Sections!$O46*D$13+Sections!$N46-Sections!$L46/(D$13+Sections!$M46)</f>
        <v>0.17278302317775579</v>
      </c>
      <c r="E114" s="29">
        <f>Sections!$O46*E$13+Sections!$N46-Sections!$L46/(E$13+Sections!$M46)</f>
        <v>0.33698397986063294</v>
      </c>
      <c r="F114" s="29">
        <f>Sections!$O46*F$13+Sections!$N46-Sections!$L46/(F$13+Sections!$M46)</f>
        <v>0.41887677878143159</v>
      </c>
      <c r="G114" s="29">
        <f>Sections!$O46*G$13+Sections!$N46-Sections!$L46/(G$13+Sections!$M46)</f>
        <v>0.47001141681352376</v>
      </c>
      <c r="H114" s="29">
        <f>Sections!$O46*H$13+Sections!$N46-Sections!$L46/(H$13+Sections!$M46)</f>
        <v>0.52113251188353138</v>
      </c>
      <c r="I114" s="29">
        <f>Sections!$O46*I$13+Sections!$N46-Sections!$L46/(I$13+Sections!$M46)</f>
        <v>0.57692168213967876</v>
      </c>
      <c r="J114" s="29">
        <f>Sections!$O46*J$13+Sections!$N46-Sections!$L46/(J$13+Sections!$M46)</f>
        <v>0.61711224600451042</v>
      </c>
      <c r="K114" s="29">
        <f>Sections!$O46*K$13+Sections!$N46-Sections!$L46/(K$13+Sections!$M46)</f>
        <v>0.67942427023119878</v>
      </c>
      <c r="L114" s="29">
        <f>Sections!$O46*L$13+Sections!$N46-Sections!$L46/(L$13+Sections!$M46)</f>
        <v>0.73178937619418627</v>
      </c>
      <c r="M114" s="29">
        <f>Sections!$O46*M$13+Sections!$N46-Sections!$L46/(M$13+Sections!$M46)</f>
        <v>0.77988286915203897</v>
      </c>
      <c r="N114" s="29">
        <f>Sections!$O46*N$13+Sections!$N46-Sections!$L46/(N$13+Sections!$M46)</f>
        <v>0.82575250223813057</v>
      </c>
      <c r="O114" s="29">
        <f>Sections!$O46*O$13+Sections!$N46-Sections!$L46/(O$13+Sections!$M46)</f>
        <v>0.87031747904258816</v>
      </c>
      <c r="P114" s="29">
        <f>Sections!$O46*P$13+Sections!$N46-Sections!$L46/(P$13+Sections!$M46)</f>
        <v>0.91405176043565683</v>
      </c>
      <c r="Q114" s="29">
        <f>Sections!$O46*Q$13+Sections!$N46-Sections!$L46/(Q$13+Sections!$M46)</f>
        <v>0.95722452834069205</v>
      </c>
      <c r="R114" s="29">
        <v>1</v>
      </c>
      <c r="S114" s="29">
        <f>Sections!$O46*S$13+Sections!$N46-Sections!$L46/(S$13+Sections!$M46)</f>
        <v>1.0424840457939328</v>
      </c>
      <c r="T114" s="29">
        <f>Sections!$O46*T$13+Sections!$N46-Sections!$L46/(T$13+Sections!$M46)</f>
        <v>1.0847479887441398</v>
      </c>
      <c r="U114" s="36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34"/>
      <c r="AN114" s="29"/>
      <c r="AO114" s="231"/>
      <c r="AR114" s="29"/>
      <c r="AS114" s="29"/>
      <c r="AT114" s="29"/>
      <c r="AV114" s="38"/>
      <c r="AW114" s="38"/>
      <c r="AX114" s="38"/>
      <c r="AY114" s="38"/>
    </row>
    <row r="115" spans="1:51" x14ac:dyDescent="0.2">
      <c r="C115" s="29">
        <f>IF(Sections!$B46&lt;0.72,C113,C114)</f>
        <v>0</v>
      </c>
      <c r="D115" s="29">
        <f>IF(Sections!$B46&lt;0.72,D113,D114)</f>
        <v>0.17278302317775579</v>
      </c>
      <c r="E115" s="29">
        <f>IF(Sections!$B46&lt;0.72,E113,E114)</f>
        <v>0.33698397986063294</v>
      </c>
      <c r="F115" s="29">
        <f>IF(Sections!$B46&lt;0.72,F113,F114)</f>
        <v>0.41887677878143159</v>
      </c>
      <c r="G115" s="29">
        <f>IF(Sections!$B46&lt;0.72,G113,G114)</f>
        <v>0.47001141681352376</v>
      </c>
      <c r="H115" s="29">
        <f>IF(Sections!$B46&lt;0.72,H113,H114)</f>
        <v>0.52113251188353138</v>
      </c>
      <c r="I115" s="29">
        <f>IF(Sections!$B46&lt;0.72,I113,I114)</f>
        <v>0.57692168213967876</v>
      </c>
      <c r="J115" s="29">
        <f>IF(Sections!$B46&lt;0.72,J113,J114)</f>
        <v>0.61711224600451042</v>
      </c>
      <c r="K115" s="29">
        <f>IF(Sections!$B46&lt;0.72,K113,K114)</f>
        <v>0.67942427023119878</v>
      </c>
      <c r="L115" s="29">
        <f>IF(Sections!$B46&lt;0.72,L113,L114)</f>
        <v>0.73178937619418627</v>
      </c>
      <c r="M115" s="29">
        <f>IF(Sections!$B46&lt;0.72,M113,M114)</f>
        <v>0.77988286915203897</v>
      </c>
      <c r="N115" s="29">
        <f>IF(Sections!$B46&lt;0.72,N113,N114)</f>
        <v>0.82575250223813057</v>
      </c>
      <c r="O115" s="29">
        <f>IF(Sections!$B46&lt;0.72,O113,O114)</f>
        <v>0.87031747904258816</v>
      </c>
      <c r="P115" s="29">
        <f>IF(Sections!$B46&lt;0.72,P113,P114)</f>
        <v>0.91405176043565683</v>
      </c>
      <c r="Q115" s="29">
        <f>IF(Sections!$B46&lt;0.72,Q113,Q114)</f>
        <v>0.95722452834069205</v>
      </c>
      <c r="R115" s="29">
        <v>1</v>
      </c>
      <c r="S115" s="29">
        <f>IF(Sections!$B46&lt;0.72,S113,S114)</f>
        <v>1.0424840457939328</v>
      </c>
      <c r="T115" s="29">
        <f>IF(Sections!$B46&lt;0.72,T113,T114)</f>
        <v>1.0847479887441398</v>
      </c>
      <c r="U115" s="29"/>
      <c r="V115" s="29">
        <f>C115*Sections!$Q46</f>
        <v>0</v>
      </c>
      <c r="W115" s="29">
        <f>D115*Sections!$Q46</f>
        <v>0.83878579968863121</v>
      </c>
      <c r="X115" s="29">
        <f>E115*Sections!$Q46</f>
        <v>1.6359094304008457</v>
      </c>
      <c r="Y115" s="29">
        <f>F115*Sections!$Q46</f>
        <v>2.0334630532521771</v>
      </c>
      <c r="Z115" s="29">
        <f>G115*Sections!$Q46</f>
        <v>2.2816992946646897</v>
      </c>
      <c r="AA115" s="29">
        <f>H115*Sections!$Q46</f>
        <v>2.529869790935849</v>
      </c>
      <c r="AB115" s="29">
        <f>I115*Sections!$Q46</f>
        <v>2.8007017449474758</v>
      </c>
      <c r="AC115" s="29">
        <f>J115*Sections!$Q46</f>
        <v>2.9958093060451789</v>
      </c>
      <c r="AD115" s="29">
        <f>K115*Sections!$Q46</f>
        <v>3.2983068553410346</v>
      </c>
      <c r="AE115" s="29">
        <f>L115*Sections!$Q46</f>
        <v>3.5525164789089536</v>
      </c>
      <c r="AF115" s="29">
        <f>M115*Sections!$Q46</f>
        <v>3.7859892947478739</v>
      </c>
      <c r="AG115" s="29">
        <f>N115*Sections!$Q46</f>
        <v>4.0086662462326235</v>
      </c>
      <c r="AH115" s="29">
        <f>O115*Sections!$Q46</f>
        <v>4.2250096636560812</v>
      </c>
      <c r="AI115" s="29">
        <f>P115*Sections!$Q46</f>
        <v>4.4373204191772029</v>
      </c>
      <c r="AJ115" s="29">
        <f>Q115*Sections!$Q46</f>
        <v>4.6469052729781559</v>
      </c>
      <c r="AK115" s="29">
        <f>R115*Sections!$Q46</f>
        <v>4.8545614277492115</v>
      </c>
      <c r="AL115" s="29">
        <f>(2*AO115+2*AK115-4*AM115)*0.25^2+(4*AM115-3*AK115-AO115)*0.25+AK115</f>
        <v>5.2775514468538027</v>
      </c>
      <c r="AM115" s="234">
        <f>_xll.Spline('Mid Upr WL Opt1 Calcs'!$O$24:$O$44,'Cxx Selected'!$I$77:$I$97,Sections!A46,TRUE)</f>
        <v>5.5818044228133017</v>
      </c>
      <c r="AN115" s="29">
        <f>(2*AO115+2*AK115-4*AM115)*0.75^2+(4*AM115-3*AK115-AO115)*0.75+AK115</f>
        <v>5.7673203556277057</v>
      </c>
      <c r="AO115" s="231">
        <f>_xll.Spline('CWD Opt1 Calcs'!$J$26:$J$46,'Cxx Selected'!$I$52:$I$72,Sections!A46,TRUE)</f>
        <v>5.8340992452970175</v>
      </c>
      <c r="AR115" s="29"/>
      <c r="AS115" s="29"/>
      <c r="AT115" s="29"/>
      <c r="AV115" s="38"/>
      <c r="AW115" s="38"/>
      <c r="AX115" s="36">
        <f>AK115-AS112*AK112</f>
        <v>2.7857631850551021</v>
      </c>
      <c r="AY115" s="38">
        <v>0</v>
      </c>
    </row>
    <row r="116" spans="1:51" x14ac:dyDescent="0.2"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34"/>
      <c r="AN116" s="29"/>
      <c r="AO116" s="231"/>
      <c r="AR116" s="29"/>
      <c r="AS116" s="29"/>
      <c r="AT116" s="29"/>
      <c r="AV116" s="38"/>
      <c r="AW116" s="38"/>
      <c r="AX116" s="36">
        <f>AK115</f>
        <v>4.8545614277492115</v>
      </c>
      <c r="AY116" s="36">
        <f>AK112</f>
        <v>4.8514589937413639</v>
      </c>
    </row>
    <row r="117" spans="1:51" x14ac:dyDescent="0.2"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>
        <f>C$26*Sections!$R47+($C$1-Sections!$R47)</f>
        <v>0</v>
      </c>
      <c r="W117" s="29">
        <f>D$26*Sections!$R47+($C$1-Sections!$R47)</f>
        <v>4.8514589937413644E-2</v>
      </c>
      <c r="X117" s="29">
        <f>E$26*Sections!$R47+($C$1-Sections!$R47)</f>
        <v>0.1455437698122409</v>
      </c>
      <c r="Y117" s="29">
        <f>F$26*Sections!$R47+($C$1-Sections!$R47)</f>
        <v>0.24257294968706822</v>
      </c>
      <c r="Z117" s="29">
        <f>G$26*Sections!$R47+($C$1-Sections!$R47)</f>
        <v>0.3396021295618955</v>
      </c>
      <c r="AA117" s="29">
        <f>H$26*Sections!$R47+($C$1-Sections!$R47)</f>
        <v>0.48514589937413644</v>
      </c>
      <c r="AB117" s="29">
        <f>I$26*Sections!$R47+($C$1-Sections!$R47)</f>
        <v>0.72771884906120454</v>
      </c>
      <c r="AC117" s="29">
        <f>J$26*Sections!$R47+($C$1-Sections!$R47)</f>
        <v>0.97029179874827287</v>
      </c>
      <c r="AD117" s="29">
        <f>K$26*Sections!$R47+($C$1-Sections!$R47)</f>
        <v>1.4554376981224091</v>
      </c>
      <c r="AE117" s="29">
        <f>L$26*Sections!$R47+($C$1-Sections!$R47)</f>
        <v>1.9405835974965457</v>
      </c>
      <c r="AF117" s="29">
        <f>M$26*Sections!$R47+($C$1-Sections!$R47)</f>
        <v>2.425729496870682</v>
      </c>
      <c r="AG117" s="29">
        <f>N$26*Sections!$R47+($C$1-Sections!$R47)</f>
        <v>2.9108753962448182</v>
      </c>
      <c r="AH117" s="29">
        <f>O$26*Sections!$R47+($C$1-Sections!$R47)</f>
        <v>3.3960212956189544</v>
      </c>
      <c r="AI117" s="29">
        <f>P$26*Sections!$R47+($C$1-Sections!$R47)</f>
        <v>3.8811671949930915</v>
      </c>
      <c r="AJ117" s="29">
        <f>Q$26*Sections!$R47+($C$1-Sections!$R47)</f>
        <v>4.3663130943672277</v>
      </c>
      <c r="AK117" s="29">
        <f>R$26*Sections!$R47+($C$1-Sections!$R47)</f>
        <v>4.8514589937413639</v>
      </c>
      <c r="AL117" s="29">
        <f>(AM117+AK117)/2</f>
        <v>6.0424339968151557</v>
      </c>
      <c r="AM117" s="234">
        <f>(AO117+AK117)/2</f>
        <v>7.2334089998889466</v>
      </c>
      <c r="AN117" s="29">
        <f>(AO117+AM117)/2</f>
        <v>8.4243840029627375</v>
      </c>
      <c r="AO117" s="231">
        <f>(_xll.Spline('Profile Calcs'!$G$45:$G$65,'Profile Calcs'!$H$45:$H$65,Sections!A47,TRUE))</f>
        <v>9.6153590060365293</v>
      </c>
      <c r="AR117" s="29">
        <f>-(-4*AM120+3*AK120+AO120)*(AO117-AK117)*Sections!R47/Sections!Q47</f>
        <v>9.7828253270031098</v>
      </c>
      <c r="AS117" s="29">
        <f>-(-4*AM120+3*AK120+AO120)/(AO117-AK117)</f>
        <v>0.36189037261670476</v>
      </c>
      <c r="AT117" s="29">
        <f>DEGREES(ATAN((AM120-AK120)/(AM117-AK117)))</f>
        <v>17.083964356843921</v>
      </c>
      <c r="AU117" s="28">
        <f>((AX121-AX120)/AX121)/(AY121/Sections!$R$47)</f>
        <v>0.43106128965563467</v>
      </c>
      <c r="AV117" s="29">
        <f>AL117/COS(AT117*PI()/180)</f>
        <v>6.3213623941045958</v>
      </c>
      <c r="AW117" s="28">
        <f>AV117*SIN(AT117*PI()/180)</f>
        <v>1.8570444021972661</v>
      </c>
      <c r="AX117" s="29">
        <f>AL120-AW117</f>
        <v>2.614432365350801</v>
      </c>
      <c r="AY117" s="28">
        <v>0</v>
      </c>
    </row>
    <row r="118" spans="1:51" x14ac:dyDescent="0.2">
      <c r="A118" s="28">
        <v>4</v>
      </c>
      <c r="B118" s="28" t="s">
        <v>104</v>
      </c>
      <c r="C118" s="29">
        <f>W$3+W$4*Sections!$F47+W$5*Sections!$G47+W$6*Sections!$H47</f>
        <v>0</v>
      </c>
      <c r="D118" s="29">
        <f>X$3+X$4*Sections!$F47+X$5*Sections!$G47+X$6*Sections!$H47</f>
        <v>1.873306938368453E-2</v>
      </c>
      <c r="E118" s="29">
        <f>Y$3+Y$4*Sections!$F47+Y$5*Sections!$G47+Y$6*Sections!$H47</f>
        <v>5.687815326431972E-2</v>
      </c>
      <c r="F118" s="29">
        <f>Z$3+Z$4*Sections!$F47+Z$5*Sections!$G47+Z$6*Sections!$H47</f>
        <v>9.5751737603218395E-2</v>
      </c>
      <c r="G118" s="29">
        <f>AA$3+AA$4*Sections!$F47+AA$5*Sections!$G47+AA$6*Sections!$H47</f>
        <v>0.13514999762345026</v>
      </c>
      <c r="H118" s="29">
        <f>AB$3+AB$4*Sections!$F47+AB$5*Sections!$G47+AB$6*Sections!$H47</f>
        <v>0.19480859463470426</v>
      </c>
      <c r="I118" s="29">
        <f>AC$3+AC$4*Sections!$F47+AC$5*Sections!$G47+AC$6*Sections!$H47</f>
        <v>0.29424477315427333</v>
      </c>
      <c r="J118" s="29">
        <f>AD$3+AD$4*Sections!$F47+AD$5*Sections!$G47+AD$6*Sections!$H47</f>
        <v>0.39150442407795949</v>
      </c>
      <c r="K118" s="29">
        <f>AE$3+AE$4*Sections!$F47+AE$5*Sections!$G47+AE$6*Sections!$H47</f>
        <v>0.57112049108290497</v>
      </c>
      <c r="L118" s="29">
        <f>AF$3+AF$4*Sections!$F47+AF$5*Sections!$G47+AF$6*Sections!$H47</f>
        <v>0.72060898010216357</v>
      </c>
      <c r="M118" s="29">
        <f>AG$3+AG$4*Sections!$F47+AG$5*Sections!$G47+AG$6*Sections!$H47</f>
        <v>0.83284125728783975</v>
      </c>
      <c r="N118" s="29">
        <f>AH$3+AH$4*Sections!$F47+AH$5*Sections!$G47+AH$6*Sections!$H47</f>
        <v>0.90660787049152258</v>
      </c>
      <c r="O118" s="29">
        <f>AI$3+AI$4*Sections!$F47+AI$5*Sections!$G47+AI$6*Sections!$H47</f>
        <v>0.94661854926428379</v>
      </c>
      <c r="P118" s="29">
        <f>AJ$3+AJ$4*Sections!$F47+AJ$5*Sections!$G47+AJ$6*Sections!$H47</f>
        <v>0.96350220485667881</v>
      </c>
      <c r="Q118" s="29">
        <f>AK$3+AK$4*Sections!$F47+AK$5*Sections!$G47+AK$6*Sections!$H47</f>
        <v>0.97380693021873932</v>
      </c>
      <c r="R118" s="29">
        <v>1</v>
      </c>
      <c r="S118" s="29">
        <f>AM$3+AM$4*Sections!$F47+AM$5*Sections!$G47+AM$6*Sections!$H47</f>
        <v>1.0704678705494506</v>
      </c>
      <c r="T118" s="29">
        <f>AN$3+AN$4*Sections!$F47+AN$5*Sections!$G47+AN$6*Sections!$H47</f>
        <v>1.2195161799155909</v>
      </c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34"/>
      <c r="AN118" s="29"/>
      <c r="AO118" s="231"/>
      <c r="AR118" s="29"/>
      <c r="AS118" s="29"/>
      <c r="AT118" s="29"/>
      <c r="AX118" s="29">
        <f>AL120</f>
        <v>4.4714767675480669</v>
      </c>
      <c r="AY118" s="29">
        <f>AL117</f>
        <v>6.0424339968151557</v>
      </c>
    </row>
    <row r="119" spans="1:51" x14ac:dyDescent="0.2">
      <c r="B119" s="28" t="s">
        <v>103</v>
      </c>
      <c r="C119" s="29" t="e">
        <f>Sections!$O47*C$13+Sections!$N47-Sections!$L47/(C$13+Sections!$M47)</f>
        <v>#DIV/0!</v>
      </c>
      <c r="D119" s="29">
        <f>Sections!$O47*D$13+Sections!$N47-Sections!$L47/(D$13+Sections!$M47)</f>
        <v>0.57324932324092159</v>
      </c>
      <c r="E119" s="29">
        <f>Sections!$O47*E$13+Sections!$N47-Sections!$L47/(E$13+Sections!$M47)</f>
        <v>0.58187054903403435</v>
      </c>
      <c r="F119" s="29">
        <f>Sections!$O47*F$13+Sections!$N47-Sections!$L47/(F$13+Sections!$M47)</f>
        <v>0.59049177482714699</v>
      </c>
      <c r="G119" s="29">
        <f>Sections!$O47*G$13+Sections!$N47-Sections!$L47/(G$13+Sections!$M47)</f>
        <v>0.59911300062025974</v>
      </c>
      <c r="H119" s="29">
        <f>Sections!$O47*H$13+Sections!$N47-Sections!$L47/(H$13+Sections!$M47)</f>
        <v>0.6120448393099287</v>
      </c>
      <c r="I119" s="29">
        <f>Sections!$O47*I$13+Sections!$N47-Sections!$L47/(I$13+Sections!$M47)</f>
        <v>0.63359790379271042</v>
      </c>
      <c r="J119" s="29">
        <f>Sections!$O47*J$13+Sections!$N47-Sections!$L47/(J$13+Sections!$M47)</f>
        <v>0.65515096827549224</v>
      </c>
      <c r="K119" s="29">
        <f>Sections!$O47*K$13+Sections!$N47-Sections!$L47/(K$13+Sections!$M47)</f>
        <v>0.69825709724105567</v>
      </c>
      <c r="L119" s="29">
        <f>Sections!$O47*L$13+Sections!$N47-Sections!$L47/(L$13+Sections!$M47)</f>
        <v>0.74136322620661921</v>
      </c>
      <c r="M119" s="29">
        <f>Sections!$O47*M$13+Sections!$N47-Sections!$L47/(M$13+Sections!$M47)</f>
        <v>0.78446935517218264</v>
      </c>
      <c r="N119" s="29">
        <f>Sections!$O47*N$13+Sections!$N47-Sections!$L47/(N$13+Sections!$M47)</f>
        <v>0.82757548413774606</v>
      </c>
      <c r="O119" s="29">
        <f>Sections!$O47*O$13+Sections!$N47-Sections!$L47/(O$13+Sections!$M47)</f>
        <v>0.87068161310330949</v>
      </c>
      <c r="P119" s="29">
        <f>Sections!$O47*P$13+Sections!$N47-Sections!$L47/(P$13+Sections!$M47)</f>
        <v>0.91378774206887303</v>
      </c>
      <c r="Q119" s="29">
        <f>Sections!$O47*Q$13+Sections!$N47-Sections!$L47/(Q$13+Sections!$M47)</f>
        <v>0.95689387103443646</v>
      </c>
      <c r="R119" s="29">
        <v>1</v>
      </c>
      <c r="S119" s="29">
        <f>Sections!$O47*S$13+Sections!$N47-Sections!$L47/(S$13+Sections!$M47)</f>
        <v>1.0431061289655634</v>
      </c>
      <c r="T119" s="29">
        <f>Sections!$O47*T$13+Sections!$N47-Sections!$L47/(T$13+Sections!$M47)</f>
        <v>1.0862122579311269</v>
      </c>
      <c r="U119" s="36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34"/>
      <c r="AN119" s="29"/>
      <c r="AO119" s="231"/>
      <c r="AR119" s="29"/>
      <c r="AS119" s="29"/>
      <c r="AT119" s="29"/>
      <c r="AV119" s="38"/>
      <c r="AW119" s="38"/>
      <c r="AX119" s="38"/>
      <c r="AY119" s="38"/>
    </row>
    <row r="120" spans="1:51" x14ac:dyDescent="0.2">
      <c r="C120" s="29">
        <f>IF(Sections!$B47&lt;0.72,C118,C119)</f>
        <v>0</v>
      </c>
      <c r="D120" s="29">
        <f>IF(Sections!$B47&lt;0.72,D118,D119)</f>
        <v>1.873306938368453E-2</v>
      </c>
      <c r="E120" s="29">
        <f>IF(Sections!$B47&lt;0.72,E118,E119)</f>
        <v>5.687815326431972E-2</v>
      </c>
      <c r="F120" s="29">
        <f>IF(Sections!$B47&lt;0.72,F118,F119)</f>
        <v>9.5751737603218395E-2</v>
      </c>
      <c r="G120" s="29">
        <f>IF(Sections!$B47&lt;0.72,G118,G119)</f>
        <v>0.13514999762345026</v>
      </c>
      <c r="H120" s="29">
        <f>IF(Sections!$B47&lt;0.72,H118,H119)</f>
        <v>0.19480859463470426</v>
      </c>
      <c r="I120" s="29">
        <f>IF(Sections!$B47&lt;0.72,I118,I119)</f>
        <v>0.29424477315427333</v>
      </c>
      <c r="J120" s="29">
        <f>IF(Sections!$B47&lt;0.72,J118,J119)</f>
        <v>0.39150442407795949</v>
      </c>
      <c r="K120" s="29">
        <f>IF(Sections!$B47&lt;0.72,K118,K119)</f>
        <v>0.57112049108290497</v>
      </c>
      <c r="L120" s="29">
        <f>IF(Sections!$B47&lt;0.72,L118,L119)</f>
        <v>0.72060898010216357</v>
      </c>
      <c r="M120" s="29">
        <f>IF(Sections!$B47&lt;0.72,M118,M119)</f>
        <v>0.83284125728783975</v>
      </c>
      <c r="N120" s="29">
        <f>IF(Sections!$B47&lt;0.72,N118,N119)</f>
        <v>0.90660787049152258</v>
      </c>
      <c r="O120" s="29">
        <f>IF(Sections!$B47&lt;0.72,O118,O119)</f>
        <v>0.94661854926428379</v>
      </c>
      <c r="P120" s="29">
        <f>IF(Sections!$B47&lt;0.72,P118,P119)</f>
        <v>0.96350220485667881</v>
      </c>
      <c r="Q120" s="29">
        <f>IF(Sections!$B47&lt;0.72,Q118,Q119)</f>
        <v>0.97380693021873932</v>
      </c>
      <c r="R120" s="29">
        <v>1</v>
      </c>
      <c r="S120" s="29">
        <f>IF(Sections!$B47&lt;0.72,S118,S119)</f>
        <v>1.0704678705494506</v>
      </c>
      <c r="T120" s="29">
        <f>IF(Sections!$B47&lt;0.72,T118,T119)</f>
        <v>1.2195161799155909</v>
      </c>
      <c r="U120" s="29"/>
      <c r="V120" s="29">
        <f>C120*Sections!$Q47</f>
        <v>0</v>
      </c>
      <c r="W120" s="29">
        <f>D120*Sections!$Q47</f>
        <v>7.6299081939536662E-2</v>
      </c>
      <c r="X120" s="29">
        <f>E120*Sections!$Q47</f>
        <v>0.23166256354463399</v>
      </c>
      <c r="Y120" s="29">
        <f>F120*Sections!$Q47</f>
        <v>0.38999319991863673</v>
      </c>
      <c r="Z120" s="29">
        <f>G120*Sections!$Q47</f>
        <v>0.5504608204665512</v>
      </c>
      <c r="AA120" s="29">
        <f>H120*Sections!$Q47</f>
        <v>0.79344802606158926</v>
      </c>
      <c r="AB120" s="29">
        <f>I120*Sections!$Q47</f>
        <v>1.1984478142557631</v>
      </c>
      <c r="AC120" s="29">
        <f>J120*Sections!$Q47</f>
        <v>1.5945826880047596</v>
      </c>
      <c r="AD120" s="29">
        <f>K120*Sections!$Q47</f>
        <v>2.3261521245650885</v>
      </c>
      <c r="AE120" s="29">
        <f>L120*Sections!$Q47</f>
        <v>2.9350130773052623</v>
      </c>
      <c r="AF120" s="29">
        <f>M120*Sections!$Q47</f>
        <v>3.3921308906150656</v>
      </c>
      <c r="AG120" s="29">
        <f>N120*Sections!$Q47</f>
        <v>3.6925795117113962</v>
      </c>
      <c r="AH120" s="29">
        <f>O120*Sections!$Q47</f>
        <v>3.855541490638255</v>
      </c>
      <c r="AI120" s="29">
        <f>P120*Sections!$Q47</f>
        <v>3.9243079802667524</v>
      </c>
      <c r="AJ120" s="29">
        <f>Q120*Sections!$Q47</f>
        <v>3.966278736295076</v>
      </c>
      <c r="AK120" s="29">
        <f>R120*Sections!$Q47</f>
        <v>4.0729621172485997</v>
      </c>
      <c r="AL120" s="29">
        <f>(2*AO120+2*AK120-4*AM120)*0.25^2+(4*AM120-3*AK120-AO120)*0.25+AK120</f>
        <v>4.4714767675480669</v>
      </c>
      <c r="AM120" s="234">
        <f>_xll.Spline('Mid Upr WL Opt1 Calcs'!$O$24:$O$44,'Cxx Selected'!$I$77:$I$97,Sections!A47,TRUE)</f>
        <v>4.8050159431673585</v>
      </c>
      <c r="AN120" s="29">
        <f>(2*AO120+2*AK120-4*AM120)*0.75^2+(4*AM120-3*AK120-AO120)*0.75+AK120</f>
        <v>5.0735796441064753</v>
      </c>
      <c r="AO120" s="231">
        <f>_xll.Spline('CWD Opt1 Calcs'!$J$26:$J$46,'Cxx Selected'!$I$52:$I$72,Sections!A47,TRUE)</f>
        <v>5.2771678703654139</v>
      </c>
      <c r="AR120" s="29"/>
      <c r="AS120" s="29"/>
      <c r="AT120" s="29"/>
      <c r="AV120" s="38"/>
      <c r="AW120" s="38"/>
      <c r="AX120" s="36">
        <f>AK120-AS117*AK117</f>
        <v>2.317265814268874</v>
      </c>
      <c r="AY120" s="38">
        <v>0</v>
      </c>
    </row>
    <row r="121" spans="1:51" x14ac:dyDescent="0.2"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34"/>
      <c r="AN121" s="29"/>
      <c r="AO121" s="231"/>
      <c r="AR121" s="29"/>
      <c r="AS121" s="29"/>
      <c r="AT121" s="29"/>
      <c r="AV121" s="38"/>
      <c r="AW121" s="38"/>
      <c r="AX121" s="36">
        <f>AK120</f>
        <v>4.0729621172485997</v>
      </c>
      <c r="AY121" s="36">
        <f>AK117</f>
        <v>4.8514589937413639</v>
      </c>
    </row>
    <row r="122" spans="1:51" x14ac:dyDescent="0.2"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>
        <f>C$26*Sections!$R48+($C$1-Sections!$R48)</f>
        <v>0</v>
      </c>
      <c r="W122" s="29">
        <f>D$26*Sections!$R48+($C$1-Sections!$R48)</f>
        <v>4.8514589937413644E-2</v>
      </c>
      <c r="X122" s="29">
        <f>E$26*Sections!$R48+($C$1-Sections!$R48)</f>
        <v>0.1455437698122409</v>
      </c>
      <c r="Y122" s="29">
        <f>F$26*Sections!$R48+($C$1-Sections!$R48)</f>
        <v>0.24257294968706822</v>
      </c>
      <c r="Z122" s="29">
        <f>G$26*Sections!$R48+($C$1-Sections!$R48)</f>
        <v>0.3396021295618955</v>
      </c>
      <c r="AA122" s="29">
        <f>H$26*Sections!$R48+($C$1-Sections!$R48)</f>
        <v>0.48514589937413644</v>
      </c>
      <c r="AB122" s="29">
        <f>I$26*Sections!$R48+($C$1-Sections!$R48)</f>
        <v>0.72771884906120454</v>
      </c>
      <c r="AC122" s="29">
        <f>J$26*Sections!$R48+($C$1-Sections!$R48)</f>
        <v>0.97029179874827287</v>
      </c>
      <c r="AD122" s="29">
        <f>K$26*Sections!$R48+($C$1-Sections!$R48)</f>
        <v>1.4554376981224091</v>
      </c>
      <c r="AE122" s="29">
        <f>L$26*Sections!$R48+($C$1-Sections!$R48)</f>
        <v>1.9405835974965457</v>
      </c>
      <c r="AF122" s="29">
        <f>M$26*Sections!$R48+($C$1-Sections!$R48)</f>
        <v>2.425729496870682</v>
      </c>
      <c r="AG122" s="29">
        <f>N$26*Sections!$R48+($C$1-Sections!$R48)</f>
        <v>2.9108753962448182</v>
      </c>
      <c r="AH122" s="29">
        <f>O$26*Sections!$R48+($C$1-Sections!$R48)</f>
        <v>3.3960212956189544</v>
      </c>
      <c r="AI122" s="29">
        <f>P$26*Sections!$R48+($C$1-Sections!$R48)</f>
        <v>3.8811671949930915</v>
      </c>
      <c r="AJ122" s="29">
        <f>Q$26*Sections!$R48+($C$1-Sections!$R48)</f>
        <v>4.3663130943672277</v>
      </c>
      <c r="AK122" s="29">
        <f>R$26*Sections!$R48+($C$1-Sections!$R48)</f>
        <v>4.8514589937413639</v>
      </c>
      <c r="AL122" s="29">
        <f>(AM122+AK122)/2</f>
        <v>6.1157594930830559</v>
      </c>
      <c r="AM122" s="234">
        <f>(AO122+AK122)/2</f>
        <v>7.3800599924247479</v>
      </c>
      <c r="AN122" s="29">
        <f>(AO122+AM122)/2</f>
        <v>8.6443604917664398</v>
      </c>
      <c r="AO122" s="231">
        <f>(_xll.Spline('Profile Calcs'!$G$45:$G$65,'Profile Calcs'!$H$45:$H$65,Sections!A48,TRUE))</f>
        <v>9.9086609911081318</v>
      </c>
      <c r="AR122" s="29">
        <f>-(-4*AM125+3*AK125+AO125)*(AO122-AK122)*Sections!R48/Sections!Q48</f>
        <v>9.9979008393632363</v>
      </c>
      <c r="AS122" s="29">
        <f>-(-4*AM125+3*AK125+AO125)/(AO122-AK122)</f>
        <v>0.25753201989683844</v>
      </c>
      <c r="AT122" s="29">
        <f>DEGREES(ATAN((AM125-AK125)/(AM122-AK122)))</f>
        <v>14.825862208310978</v>
      </c>
      <c r="AU122" s="28">
        <f>((AX126-AX125)/AX126)/(AY126/Sections!$R$48)</f>
        <v>0.39092030006452949</v>
      </c>
      <c r="AV122" s="29">
        <f>AL122/COS(AT122*PI()/180)</f>
        <v>6.3263773304604545</v>
      </c>
      <c r="AW122" s="28">
        <f>AV122*SIN(AT122*PI()/180)</f>
        <v>1.6188069527057349</v>
      </c>
      <c r="AX122" s="29">
        <f>AL125-AW122</f>
        <v>1.9073818993782483</v>
      </c>
      <c r="AY122" s="28">
        <v>0</v>
      </c>
    </row>
    <row r="123" spans="1:51" x14ac:dyDescent="0.2">
      <c r="A123" s="28">
        <v>3</v>
      </c>
      <c r="B123" s="28" t="s">
        <v>104</v>
      </c>
      <c r="C123" s="29">
        <f>W$3+W$4*Sections!$F48+W$5*Sections!$G48+W$6*Sections!$H48</f>
        <v>0</v>
      </c>
      <c r="D123" s="29">
        <f>X$3+X$4*Sections!$F48+X$5*Sections!$G48+X$6*Sections!$H48</f>
        <v>3.7733831901022477E-3</v>
      </c>
      <c r="E123" s="29">
        <f>Y$3+Y$4*Sections!$F48+Y$5*Sections!$G48+Y$6*Sections!$H48</f>
        <v>1.4749704223357134E-2</v>
      </c>
      <c r="F123" s="29">
        <f>Z$3+Z$4*Sections!$F48+Z$5*Sections!$G48+Z$6*Sections!$H48</f>
        <v>2.9932535888071508E-2</v>
      </c>
      <c r="G123" s="29">
        <f>AA$3+AA$4*Sections!$F48+AA$5*Sections!$G48+AA$6*Sections!$H48</f>
        <v>4.8896237573304108E-2</v>
      </c>
      <c r="H123" s="29">
        <f>AB$3+AB$4*Sections!$F48+AB$5*Sections!$G48+AB$6*Sections!$H48</f>
        <v>8.353874089246921E-2</v>
      </c>
      <c r="I123" s="29">
        <f>AC$3+AC$4*Sections!$F48+AC$5*Sections!$G48+AC$6*Sections!$H48</f>
        <v>0.15460029534810907</v>
      </c>
      <c r="J123" s="29">
        <f>AD$3+AD$4*Sections!$F48+AD$5*Sections!$G48+AD$6*Sections!$H48</f>
        <v>0.23751647227686973</v>
      </c>
      <c r="K123" s="29">
        <f>AE$3+AE$4*Sections!$F48+AE$5*Sections!$G48+AE$6*Sections!$H48</f>
        <v>0.41959774907607744</v>
      </c>
      <c r="L123" s="29">
        <f>AF$3+AF$4*Sections!$F48+AF$5*Sections!$G48+AF$6*Sections!$H48</f>
        <v>0.59732860920436537</v>
      </c>
      <c r="M123" s="29">
        <f>AG$3+AG$4*Sections!$F48+AG$5*Sections!$G48+AG$6*Sections!$H48</f>
        <v>0.74813657356740204</v>
      </c>
      <c r="N123" s="29">
        <f>AH$3+AH$4*Sections!$F48+AH$5*Sections!$G48+AH$6*Sections!$H48</f>
        <v>0.85933064606225307</v>
      </c>
      <c r="O123" s="29">
        <f>AI$3+AI$4*Sections!$F48+AI$5*Sections!$G48+AI$6*Sections!$H48</f>
        <v>0.92810131357738179</v>
      </c>
      <c r="P123" s="29">
        <f>AJ$3+AJ$4*Sections!$F48+AJ$5*Sections!$G48+AJ$6*Sections!$H48</f>
        <v>0.96152054599264736</v>
      </c>
      <c r="Q123" s="29">
        <f>AK$3+AK$4*Sections!$F48+AK$5*Sections!$G48+AK$6*Sections!$H48</f>
        <v>0.9765417961792987</v>
      </c>
      <c r="R123" s="29">
        <v>1</v>
      </c>
      <c r="S123" s="29">
        <f>AM$3+AM$4*Sections!$F48+AM$5*Sections!$G48+AM$6*Sections!$H48</f>
        <v>1.068611576308788</v>
      </c>
      <c r="T123" s="29">
        <f>AN$3+AN$4*Sections!$F48+AN$5*Sections!$G48+AN$6*Sections!$H48</f>
        <v>1.2289744269511171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34"/>
      <c r="AN123" s="29"/>
      <c r="AO123" s="231"/>
      <c r="AR123" s="29"/>
      <c r="AS123" s="29"/>
      <c r="AT123" s="29"/>
      <c r="AX123" s="29">
        <f>AL125</f>
        <v>3.5261888520839832</v>
      </c>
      <c r="AY123" s="29">
        <f>AL122</f>
        <v>6.1157594930830559</v>
      </c>
    </row>
    <row r="124" spans="1:51" x14ac:dyDescent="0.2">
      <c r="B124" s="28" t="s">
        <v>103</v>
      </c>
      <c r="C124" s="29" t="e">
        <f>Sections!$O48*C$13+Sections!$N48-Sections!$L48/(C$13+Sections!$M48)</f>
        <v>#DIV/0!</v>
      </c>
      <c r="D124" s="29">
        <f>Sections!$O48*D$13+Sections!$N48-Sections!$L48/(D$13+Sections!$M48)</f>
        <v>0.61298890293611585</v>
      </c>
      <c r="E124" s="29">
        <f>Sections!$O48*E$13+Sections!$N48-Sections!$L48/(E$13+Sections!$M48)</f>
        <v>0.62080730893740643</v>
      </c>
      <c r="F124" s="29">
        <f>Sections!$O48*F$13+Sections!$N48-Sections!$L48/(F$13+Sections!$M48)</f>
        <v>0.62862571493869701</v>
      </c>
      <c r="G124" s="29">
        <f>Sections!$O48*G$13+Sections!$N48-Sections!$L48/(G$13+Sections!$M48)</f>
        <v>0.63644412093998759</v>
      </c>
      <c r="H124" s="29">
        <f>Sections!$O48*H$13+Sections!$N48-Sections!$L48/(H$13+Sections!$M48)</f>
        <v>0.6481717299419234</v>
      </c>
      <c r="I124" s="29">
        <f>Sections!$O48*I$13+Sections!$N48-Sections!$L48/(I$13+Sections!$M48)</f>
        <v>0.6677177449451499</v>
      </c>
      <c r="J124" s="29">
        <f>Sections!$O48*J$13+Sections!$N48-Sections!$L48/(J$13+Sections!$M48)</f>
        <v>0.68726375994837641</v>
      </c>
      <c r="K124" s="29">
        <f>Sections!$O48*K$13+Sections!$N48-Sections!$L48/(K$13+Sections!$M48)</f>
        <v>0.72635578995482941</v>
      </c>
      <c r="L124" s="29">
        <f>Sections!$O48*L$13+Sections!$N48-Sections!$L48/(L$13+Sections!$M48)</f>
        <v>0.76544781996128231</v>
      </c>
      <c r="M124" s="29">
        <f>Sections!$O48*M$13+Sections!$N48-Sections!$L48/(M$13+Sections!$M48)</f>
        <v>0.8045398499677352</v>
      </c>
      <c r="N124" s="29">
        <f>Sections!$O48*N$13+Sections!$N48-Sections!$L48/(N$13+Sections!$M48)</f>
        <v>0.8436318799741882</v>
      </c>
      <c r="O124" s="29">
        <f>Sections!$O48*O$13+Sections!$N48-Sections!$L48/(O$13+Sections!$M48)</f>
        <v>0.88272390998064121</v>
      </c>
      <c r="P124" s="29">
        <f>Sections!$O48*P$13+Sections!$N48-Sections!$L48/(P$13+Sections!$M48)</f>
        <v>0.9218159399870941</v>
      </c>
      <c r="Q124" s="29">
        <f>Sections!$O48*Q$13+Sections!$N48-Sections!$L48/(Q$13+Sections!$M48)</f>
        <v>0.960907969993547</v>
      </c>
      <c r="R124" s="29">
        <v>1</v>
      </c>
      <c r="S124" s="29">
        <f>Sections!$O48*S$13+Sections!$N48-Sections!$L48/(S$13+Sections!$M48)</f>
        <v>1.039092030006453</v>
      </c>
      <c r="T124" s="29">
        <f>Sections!$O48*T$13+Sections!$N48-Sections!$L48/(T$13+Sections!$M48)</f>
        <v>1.078184060012906</v>
      </c>
      <c r="U124" s="36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34"/>
      <c r="AN124" s="29"/>
      <c r="AO124" s="231"/>
      <c r="AR124" s="29"/>
      <c r="AS124" s="29"/>
      <c r="AT124" s="29"/>
      <c r="AV124" s="38"/>
      <c r="AW124" s="38"/>
      <c r="AX124" s="38"/>
      <c r="AY124" s="38"/>
    </row>
    <row r="125" spans="1:51" x14ac:dyDescent="0.2">
      <c r="C125" s="29">
        <f>IF(Sections!$B48&lt;0.72,C123,C124)</f>
        <v>0</v>
      </c>
      <c r="D125" s="29">
        <f>IF(Sections!$B48&lt;0.72,D123,D124)</f>
        <v>3.7733831901022477E-3</v>
      </c>
      <c r="E125" s="29">
        <f>IF(Sections!$B48&lt;0.72,E123,E124)</f>
        <v>1.4749704223357134E-2</v>
      </c>
      <c r="F125" s="29">
        <f>IF(Sections!$B48&lt;0.72,F123,F124)</f>
        <v>2.9932535888071508E-2</v>
      </c>
      <c r="G125" s="29">
        <f>IF(Sections!$B48&lt;0.72,G123,G124)</f>
        <v>4.8896237573304108E-2</v>
      </c>
      <c r="H125" s="29">
        <f>IF(Sections!$B48&lt;0.72,H123,H124)</f>
        <v>8.353874089246921E-2</v>
      </c>
      <c r="I125" s="29">
        <f>IF(Sections!$B48&lt;0.72,I123,I124)</f>
        <v>0.15460029534810907</v>
      </c>
      <c r="J125" s="29">
        <f>IF(Sections!$B48&lt;0.72,J123,J124)</f>
        <v>0.23751647227686973</v>
      </c>
      <c r="K125" s="29">
        <f>IF(Sections!$B48&lt;0.72,K123,K124)</f>
        <v>0.41959774907607744</v>
      </c>
      <c r="L125" s="29">
        <f>IF(Sections!$B48&lt;0.72,L123,L124)</f>
        <v>0.59732860920436537</v>
      </c>
      <c r="M125" s="29">
        <f>IF(Sections!$B48&lt;0.72,M123,M124)</f>
        <v>0.74813657356740204</v>
      </c>
      <c r="N125" s="29">
        <f>IF(Sections!$B48&lt;0.72,N123,N124)</f>
        <v>0.85933064606225307</v>
      </c>
      <c r="O125" s="29">
        <f>IF(Sections!$B48&lt;0.72,O123,O124)</f>
        <v>0.92810131357738179</v>
      </c>
      <c r="P125" s="29">
        <f>IF(Sections!$B48&lt;0.72,P123,P124)</f>
        <v>0.96152054599264736</v>
      </c>
      <c r="Q125" s="29">
        <f>IF(Sections!$B48&lt;0.72,Q123,Q124)</f>
        <v>0.9765417961792987</v>
      </c>
      <c r="R125" s="29">
        <v>1</v>
      </c>
      <c r="S125" s="29">
        <f>IF(Sections!$B48&lt;0.72,S123,S124)</f>
        <v>1.068611576308788</v>
      </c>
      <c r="T125" s="29">
        <f>IF(Sections!$B48&lt;0.72,T123,T124)</f>
        <v>1.2289744269511171</v>
      </c>
      <c r="U125" s="29"/>
      <c r="V125" s="29">
        <f>C125*Sections!$Q48</f>
        <v>0</v>
      </c>
      <c r="W125" s="29">
        <f>D125*Sections!$Q48</f>
        <v>1.2059971625739336E-2</v>
      </c>
      <c r="X125" s="29">
        <f>E125*Sections!$Q48</f>
        <v>4.7140988725535356E-2</v>
      </c>
      <c r="Y125" s="29">
        <f>F125*Sections!$Q48</f>
        <v>9.5666280181521957E-2</v>
      </c>
      <c r="Z125" s="29">
        <f>G125*Sections!$Q48</f>
        <v>0.15627547164736225</v>
      </c>
      <c r="AA125" s="29">
        <f>H125*Sections!$Q48</f>
        <v>0.26699510599819826</v>
      </c>
      <c r="AB125" s="29">
        <f>I125*Sections!$Q48</f>
        <v>0.49411233402420351</v>
      </c>
      <c r="AC125" s="29">
        <f>J125*Sections!$Q48</f>
        <v>0.75911768617041364</v>
      </c>
      <c r="AD125" s="29">
        <f>K125*Sections!$Q48</f>
        <v>1.341060977150446</v>
      </c>
      <c r="AE125" s="29">
        <f>L125*Sections!$Q48</f>
        <v>1.9091000609592967</v>
      </c>
      <c r="AF125" s="29">
        <f>M125*Sections!$Q48</f>
        <v>2.3910918650051638</v>
      </c>
      <c r="AG125" s="29">
        <f>N125*Sections!$Q48</f>
        <v>2.7464751620834469</v>
      </c>
      <c r="AH125" s="29">
        <f>O125*Sections!$Q48</f>
        <v>2.9662705703767487</v>
      </c>
      <c r="AI125" s="29">
        <f>P125*Sections!$Q48</f>
        <v>3.0730805534548709</v>
      </c>
      <c r="AJ125" s="29">
        <f>Q125*Sections!$Q48</f>
        <v>3.1210894202747914</v>
      </c>
      <c r="AK125" s="29">
        <f>R125*Sections!$Q48</f>
        <v>3.19606332518075</v>
      </c>
      <c r="AL125" s="29">
        <f>(2*AO125+2*AK125-4*AM125)*0.25^2+(4*AM125-3*AK125-AO125)*0.25+AK125</f>
        <v>3.5261888520839832</v>
      </c>
      <c r="AM125" s="234">
        <f>_xll.Spline('Mid Upr WL Opt1 Calcs'!$O$24:$O$44,'Cxx Selected'!$I$77:$I$97,Sections!A48,TRUE)</f>
        <v>3.8653697100895879</v>
      </c>
      <c r="AN125" s="29">
        <f>(2*AO125+2*AK125-4*AM125)*0.75^2+(4*AM125-3*AK125-AO125)*0.75+AK125</f>
        <v>4.2136058991975638</v>
      </c>
      <c r="AO125" s="231">
        <f>_xll.Spline('CWD Opt1 Calcs'!$J$26:$J$46,'Cxx Selected'!$I$52:$I$72,Sections!A48,TRUE)</f>
        <v>4.5708974194079124</v>
      </c>
      <c r="AR125" s="29"/>
      <c r="AS125" s="29"/>
      <c r="AT125" s="29"/>
      <c r="AV125" s="38"/>
      <c r="AW125" s="38"/>
      <c r="AX125" s="36">
        <f>AK125-AS122*AK122</f>
        <v>1.9466572910758533</v>
      </c>
      <c r="AY125" s="38">
        <v>0</v>
      </c>
    </row>
    <row r="126" spans="1:51" x14ac:dyDescent="0.2"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34"/>
      <c r="AN126" s="29"/>
      <c r="AO126" s="231"/>
      <c r="AR126" s="29"/>
      <c r="AS126" s="29"/>
      <c r="AT126" s="29"/>
      <c r="AV126" s="38"/>
      <c r="AW126" s="38"/>
      <c r="AX126" s="36">
        <f>AK125</f>
        <v>3.19606332518075</v>
      </c>
      <c r="AY126" s="36">
        <f>AK122</f>
        <v>4.8514589937413639</v>
      </c>
    </row>
    <row r="127" spans="1:51" x14ac:dyDescent="0.2"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>
        <f>C$26*Sections!$R49+($C$1-Sections!$R49)</f>
        <v>0</v>
      </c>
      <c r="W127" s="29">
        <f>D$26*Sections!$R49+($C$1-Sections!$R49)</f>
        <v>4.8514589937413644E-2</v>
      </c>
      <c r="X127" s="29">
        <f>E$26*Sections!$R49+($C$1-Sections!$R49)</f>
        <v>0.1455437698122409</v>
      </c>
      <c r="Y127" s="29">
        <f>F$26*Sections!$R49+($C$1-Sections!$R49)</f>
        <v>0.24257294968706822</v>
      </c>
      <c r="Z127" s="29">
        <f>G$26*Sections!$R49+($C$1-Sections!$R49)</f>
        <v>0.3396021295618955</v>
      </c>
      <c r="AA127" s="29">
        <f>H$26*Sections!$R49+($C$1-Sections!$R49)</f>
        <v>0.48514589937413644</v>
      </c>
      <c r="AB127" s="29">
        <f>I$26*Sections!$R49+($C$1-Sections!$R49)</f>
        <v>0.72771884906120454</v>
      </c>
      <c r="AC127" s="29">
        <f>J$26*Sections!$R49+($C$1-Sections!$R49)</f>
        <v>0.97029179874827287</v>
      </c>
      <c r="AD127" s="29">
        <f>K$26*Sections!$R49+($C$1-Sections!$R49)</f>
        <v>1.4554376981224091</v>
      </c>
      <c r="AE127" s="29">
        <f>L$26*Sections!$R49+($C$1-Sections!$R49)</f>
        <v>1.9405835974965457</v>
      </c>
      <c r="AF127" s="29">
        <f>M$26*Sections!$R49+($C$1-Sections!$R49)</f>
        <v>2.425729496870682</v>
      </c>
      <c r="AG127" s="29">
        <f>N$26*Sections!$R49+($C$1-Sections!$R49)</f>
        <v>2.9108753962448182</v>
      </c>
      <c r="AH127" s="29">
        <f>O$26*Sections!$R49+($C$1-Sections!$R49)</f>
        <v>3.3960212956189544</v>
      </c>
      <c r="AI127" s="29">
        <f>P$26*Sections!$R49+($C$1-Sections!$R49)</f>
        <v>3.8811671949930915</v>
      </c>
      <c r="AJ127" s="29">
        <f>Q$26*Sections!$R49+($C$1-Sections!$R49)</f>
        <v>4.3663130943672277</v>
      </c>
      <c r="AK127" s="29">
        <f>R$26*Sections!$R49+($C$1-Sections!$R49)</f>
        <v>4.8514589937413639</v>
      </c>
      <c r="AL127" s="29">
        <f>(AM127+AK127)/2</f>
        <v>6.2027165508162501</v>
      </c>
      <c r="AM127" s="234">
        <f>(AO127+AK127)/2</f>
        <v>7.5539741078911371</v>
      </c>
      <c r="AN127" s="29">
        <f>(AO127+AM127)/2</f>
        <v>8.9052316649660241</v>
      </c>
      <c r="AO127" s="231">
        <f>(_xll.Spline('Profile Calcs'!$G$45:$G$65,'Profile Calcs'!$H$45:$H$65,Sections!A49,TRUE))</f>
        <v>10.25648922204091</v>
      </c>
      <c r="AR127" s="29">
        <f>-(-4*AM130+3*AK130+AO130)*(AO127-AK127)*Sections!R49/Sections!Q49</f>
        <v>8.9798502185057014</v>
      </c>
      <c r="AS127" s="29">
        <f>-(-4*AM130+3*AK130+AO130)/(AO127-AK127)</f>
        <v>0.14119395706981314</v>
      </c>
      <c r="AT127" s="29">
        <f>DEGREES(ATAN((AM130-AK130)/(AM127-AK127)))</f>
        <v>11.620962500235912</v>
      </c>
      <c r="AU127" s="28">
        <f>((AX131-AX130)/AX131)/(AY131/Sections!$R$49)</f>
        <v>0.30737804109301192</v>
      </c>
      <c r="AV127" s="29">
        <f>AL127/COS(AT127*PI()/180)</f>
        <v>6.3325230350125103</v>
      </c>
      <c r="AW127" s="28">
        <f>AV127*SIN(AT127*PI()/180)</f>
        <v>1.2756000075236025</v>
      </c>
      <c r="AX127" s="29">
        <f>AL130-AW127</f>
        <v>1.1872543704310075</v>
      </c>
      <c r="AY127" s="28">
        <v>0</v>
      </c>
    </row>
    <row r="128" spans="1:51" x14ac:dyDescent="0.2">
      <c r="A128" s="28">
        <v>2</v>
      </c>
      <c r="B128" s="28" t="s">
        <v>104</v>
      </c>
      <c r="C128" s="29">
        <f>W$3+W$4*Sections!$F49+W$5*Sections!$G49+W$6*Sections!$H49</f>
        <v>0</v>
      </c>
      <c r="D128" s="29">
        <f>X$3+X$4*Sections!$F49+X$5*Sections!$G49+X$6*Sections!$H49</f>
        <v>4.6581390838772608E-4</v>
      </c>
      <c r="E128" s="29">
        <f>Y$3+Y$4*Sections!$F49+Y$5*Sections!$G49+Y$6*Sections!$H49</f>
        <v>4.0916396705551767E-3</v>
      </c>
      <c r="F128" s="29">
        <f>Z$3+Z$4*Sections!$F49+Z$5*Sections!$G49+Z$6*Sections!$H49</f>
        <v>1.1087335177660935E-2</v>
      </c>
      <c r="G128" s="29">
        <f>AA$3+AA$4*Sections!$F49+AA$5*Sections!$G49+AA$6*Sections!$H49</f>
        <v>2.1192830465211272E-2</v>
      </c>
      <c r="H128" s="29">
        <f>AB$3+AB$4*Sections!$F49+AB$5*Sections!$G49+AB$6*Sections!$H49</f>
        <v>4.1632178527498641E-2</v>
      </c>
      <c r="I128" s="29">
        <f>AC$3+AC$4*Sections!$F49+AC$5*Sections!$G49+AC$6*Sections!$H49</f>
        <v>8.7783532298280689E-2</v>
      </c>
      <c r="J128" s="29">
        <f>AD$3+AD$4*Sections!$F49+AD$5*Sections!$G49+AD$6*Sections!$H49</f>
        <v>0.1459941065158934</v>
      </c>
      <c r="K128" s="29">
        <f>AE$3+AE$4*Sections!$F49+AE$5*Sections!$G49+AE$6*Sections!$H49</f>
        <v>0.28592229528074486</v>
      </c>
      <c r="L128" s="29">
        <f>AF$3+AF$4*Sections!$F49+AF$5*Sections!$G49+AF$6*Sections!$H49</f>
        <v>0.43911258057150693</v>
      </c>
      <c r="M128" s="29">
        <f>AG$3+AG$4*Sections!$F49+AG$5*Sections!$G49+AG$6*Sections!$H49</f>
        <v>0.58812012257152435</v>
      </c>
      <c r="N128" s="29">
        <f>AH$3+AH$4*Sections!$F49+AH$5*Sections!$G49+AH$6*Sections!$H49</f>
        <v>0.72035940589803493</v>
      </c>
      <c r="O128" s="29">
        <f>AI$3+AI$4*Sections!$F49+AI$5*Sections!$G49+AI$6*Sections!$H49</f>
        <v>0.82810423960216972</v>
      </c>
      <c r="P128" s="29">
        <f>AJ$3+AJ$4*Sections!$F49+AJ$5*Sections!$G49+AJ$6*Sections!$H49</f>
        <v>0.90848775716895125</v>
      </c>
      <c r="Q128" s="29">
        <f>AK$3+AK$4*Sections!$F49+AK$5*Sections!$G49+AK$6*Sections!$H49</f>
        <v>0.96350241651728885</v>
      </c>
      <c r="R128" s="29">
        <v>1</v>
      </c>
      <c r="S128" s="29">
        <f>AM$3+AM$4*Sections!$F49+AM$5*Sections!$G49+AM$6*Sections!$H49</f>
        <v>1.0296916144037747</v>
      </c>
      <c r="T128" s="29">
        <f>AN$3+AN$4*Sections!$F49+AN$5*Sections!$G49+AN$6*Sections!$H49</f>
        <v>1.0691476909492101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34"/>
      <c r="AN128" s="29"/>
      <c r="AO128" s="231"/>
      <c r="AR128" s="29"/>
      <c r="AS128" s="29"/>
      <c r="AT128" s="29"/>
      <c r="AX128" s="29">
        <f>AL130</f>
        <v>2.4628543779546099</v>
      </c>
      <c r="AY128" s="29">
        <f>AL127</f>
        <v>6.2027165508162501</v>
      </c>
    </row>
    <row r="129" spans="1:51" x14ac:dyDescent="0.2">
      <c r="B129" s="28" t="s">
        <v>103</v>
      </c>
      <c r="C129" s="29" t="e">
        <f>Sections!$O49*C$13+Sections!$N49-Sections!$L49/(C$13+Sections!$M49)</f>
        <v>#DIV/0!</v>
      </c>
      <c r="D129" s="29">
        <f>Sections!$O49*D$13+Sections!$N49-Sections!$L49/(D$13+Sections!$M49)</f>
        <v>0.69569573931791817</v>
      </c>
      <c r="E129" s="29">
        <f>Sections!$O49*E$13+Sections!$N49-Sections!$L49/(E$13+Sections!$M49)</f>
        <v>0.70184330013977847</v>
      </c>
      <c r="F129" s="29">
        <f>Sections!$O49*F$13+Sections!$N49-Sections!$L49/(F$13+Sections!$M49)</f>
        <v>0.70799086096163866</v>
      </c>
      <c r="G129" s="29">
        <f>Sections!$O49*G$13+Sections!$N49-Sections!$L49/(G$13+Sections!$M49)</f>
        <v>0.71413842178349896</v>
      </c>
      <c r="H129" s="29">
        <f>Sections!$O49*H$13+Sections!$N49-Sections!$L49/(H$13+Sections!$M49)</f>
        <v>0.72335976301628924</v>
      </c>
      <c r="I129" s="29">
        <f>Sections!$O49*I$13+Sections!$N49-Sections!$L49/(I$13+Sections!$M49)</f>
        <v>0.73872866507093982</v>
      </c>
      <c r="J129" s="29">
        <f>Sections!$O49*J$13+Sections!$N49-Sections!$L49/(J$13+Sections!$M49)</f>
        <v>0.75409756712559051</v>
      </c>
      <c r="K129" s="29">
        <f>Sections!$O49*K$13+Sections!$N49-Sections!$L49/(K$13+Sections!$M49)</f>
        <v>0.78483537123489167</v>
      </c>
      <c r="L129" s="29">
        <f>Sections!$O49*L$13+Sections!$N49-Sections!$L49/(L$13+Sections!$M49)</f>
        <v>0.81557317534419282</v>
      </c>
      <c r="M129" s="29">
        <f>Sections!$O49*M$13+Sections!$N49-Sections!$L49/(M$13+Sections!$M49)</f>
        <v>0.84631097945349398</v>
      </c>
      <c r="N129" s="29">
        <f>Sections!$O49*N$13+Sections!$N49-Sections!$L49/(N$13+Sections!$M49)</f>
        <v>0.87704878356279525</v>
      </c>
      <c r="O129" s="29">
        <f>Sections!$O49*O$13+Sections!$N49-Sections!$L49/(O$13+Sections!$M49)</f>
        <v>0.90778658767209641</v>
      </c>
      <c r="P129" s="29">
        <f>Sections!$O49*P$13+Sections!$N49-Sections!$L49/(P$13+Sections!$M49)</f>
        <v>0.93852439178139768</v>
      </c>
      <c r="Q129" s="29">
        <f>Sections!$O49*Q$13+Sections!$N49-Sections!$L49/(Q$13+Sections!$M49)</f>
        <v>0.96926219589069884</v>
      </c>
      <c r="R129" s="29">
        <v>1</v>
      </c>
      <c r="S129" s="29">
        <f>Sections!$O49*S$13+Sections!$N49-Sections!$L49/(S$13+Sections!$M49)</f>
        <v>1.0307378041093012</v>
      </c>
      <c r="T129" s="29">
        <f>Sections!$O49*T$13+Sections!$N49-Sections!$L49/(T$13+Sections!$M49)</f>
        <v>1.0614756082186023</v>
      </c>
      <c r="U129" s="36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34"/>
      <c r="AN129" s="29"/>
      <c r="AO129" s="231"/>
      <c r="AR129" s="29"/>
      <c r="AS129" s="29"/>
      <c r="AT129" s="29"/>
      <c r="AV129" s="38"/>
      <c r="AW129" s="38"/>
      <c r="AX129" s="38"/>
      <c r="AY129" s="38"/>
    </row>
    <row r="130" spans="1:51" x14ac:dyDescent="0.2">
      <c r="C130" s="29">
        <f>IF(Sections!$B49&lt;0.72,C128,C129)</f>
        <v>0</v>
      </c>
      <c r="D130" s="29">
        <f>IF(Sections!$B49&lt;0.72,D128,D129)</f>
        <v>4.6581390838772608E-4</v>
      </c>
      <c r="E130" s="29">
        <f>IF(Sections!$B49&lt;0.72,E128,E129)</f>
        <v>4.0916396705551767E-3</v>
      </c>
      <c r="F130" s="29">
        <f>IF(Sections!$B49&lt;0.72,F128,F129)</f>
        <v>1.1087335177660935E-2</v>
      </c>
      <c r="G130" s="29">
        <f>IF(Sections!$B49&lt;0.72,G128,G129)</f>
        <v>2.1192830465211272E-2</v>
      </c>
      <c r="H130" s="29">
        <f>IF(Sections!$B49&lt;0.72,H128,H129)</f>
        <v>4.1632178527498641E-2</v>
      </c>
      <c r="I130" s="29">
        <f>IF(Sections!$B49&lt;0.72,I128,I129)</f>
        <v>8.7783532298280689E-2</v>
      </c>
      <c r="J130" s="29">
        <f>IF(Sections!$B49&lt;0.72,J128,J129)</f>
        <v>0.1459941065158934</v>
      </c>
      <c r="K130" s="29">
        <f>IF(Sections!$B49&lt;0.72,K128,K129)</f>
        <v>0.28592229528074486</v>
      </c>
      <c r="L130" s="29">
        <f>IF(Sections!$B49&lt;0.72,L128,L129)</f>
        <v>0.43911258057150693</v>
      </c>
      <c r="M130" s="29">
        <f>IF(Sections!$B49&lt;0.72,M128,M129)</f>
        <v>0.58812012257152435</v>
      </c>
      <c r="N130" s="29">
        <f>IF(Sections!$B49&lt;0.72,N128,N129)</f>
        <v>0.72035940589803493</v>
      </c>
      <c r="O130" s="29">
        <f>IF(Sections!$B49&lt;0.72,O128,O129)</f>
        <v>0.82810423960216972</v>
      </c>
      <c r="P130" s="29">
        <f>IF(Sections!$B49&lt;0.72,P128,P129)</f>
        <v>0.90848775716895125</v>
      </c>
      <c r="Q130" s="29">
        <f>IF(Sections!$B49&lt;0.72,Q128,Q129)</f>
        <v>0.96350241651728885</v>
      </c>
      <c r="R130" s="29">
        <v>1</v>
      </c>
      <c r="S130" s="29">
        <f>IF(Sections!$B49&lt;0.72,S128,S129)</f>
        <v>1.0296916144037747</v>
      </c>
      <c r="T130" s="29">
        <f>IF(Sections!$B49&lt;0.72,T128,T129)</f>
        <v>1.0691476909492101</v>
      </c>
      <c r="U130" s="29"/>
      <c r="V130" s="29">
        <f>C130*Sections!$Q49</f>
        <v>0</v>
      </c>
      <c r="W130" s="29">
        <f>D130*Sections!$Q49</f>
        <v>1.0380734603302451E-3</v>
      </c>
      <c r="X130" s="29">
        <f>E130*Sections!$Q49</f>
        <v>9.1182819464083516E-3</v>
      </c>
      <c r="Y130" s="29">
        <f>F130*Sections!$Q49</f>
        <v>2.4708296996867874E-2</v>
      </c>
      <c r="Z130" s="29">
        <f>G130*Sections!$Q49</f>
        <v>4.722854869524927E-2</v>
      </c>
      <c r="AA130" s="29">
        <f>H130*Sections!$Q49</f>
        <v>9.2777950264968503E-2</v>
      </c>
      <c r="AB130" s="29">
        <f>I130*Sections!$Q49</f>
        <v>0.19562695207683323</v>
      </c>
      <c r="AC130" s="29">
        <f>J130*Sections!$Q49</f>
        <v>0.32535011215815635</v>
      </c>
      <c r="AD130" s="29">
        <f>K130*Sections!$Q49</f>
        <v>0.6371822332977588</v>
      </c>
      <c r="AE130" s="29">
        <f>L130*Sections!$Q49</f>
        <v>0.97856914055256372</v>
      </c>
      <c r="AF130" s="29">
        <f>M130*Sections!$Q49</f>
        <v>1.310634740041946</v>
      </c>
      <c r="AG130" s="29">
        <f>N130*Sections!$Q49</f>
        <v>1.6053320171358723</v>
      </c>
      <c r="AH130" s="29">
        <f>O130*Sections!$Q49</f>
        <v>1.8454430364549019</v>
      </c>
      <c r="AI130" s="29">
        <f>P130*Sections!$Q49</f>
        <v>2.0245789418701827</v>
      </c>
      <c r="AJ130" s="29">
        <f>Q130*Sections!$Q49</f>
        <v>2.1471799565034404</v>
      </c>
      <c r="AK130" s="29">
        <f>R130*Sections!$Q49</f>
        <v>2.2285153827270259</v>
      </c>
      <c r="AL130" s="29">
        <f>(2*AO130+2*AK130-4*AM130)*0.25^2+(4*AM130-3*AK130-AO130)*0.25+AK130</f>
        <v>2.4628543779546099</v>
      </c>
      <c r="AM130" s="234">
        <f>_xll.Spline('Mid Upr WL Opt1 Calcs'!$O$24:$O$44,'Cxx Selected'!$I$77:$I$97,Sections!A49,TRUE)</f>
        <v>2.7842925606295768</v>
      </c>
      <c r="AN130" s="29">
        <f>(2*AO130+2*AK130-4*AM130)*0.75^2+(4*AM130-3*AK130-AO130)*0.75+AK130</f>
        <v>3.1928299307519277</v>
      </c>
      <c r="AO130" s="231">
        <f>_xll.Spline('CWD Opt1 Calcs'!$J$26:$J$46,'Cxx Selected'!$I$52:$I$72,Sections!A49,TRUE)</f>
        <v>3.6884664883216609</v>
      </c>
      <c r="AR130" s="29"/>
      <c r="AS130" s="29"/>
      <c r="AT130" s="29"/>
      <c r="AV130" s="38"/>
      <c r="AW130" s="38"/>
      <c r="AX130" s="36">
        <f>AK130-AS127*AK127</f>
        <v>1.543518689838749</v>
      </c>
      <c r="AY130" s="38">
        <v>0</v>
      </c>
    </row>
    <row r="131" spans="1:51" x14ac:dyDescent="0.2"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34"/>
      <c r="AN131" s="29"/>
      <c r="AO131" s="231"/>
      <c r="AR131" s="29"/>
      <c r="AS131" s="29"/>
      <c r="AT131" s="29"/>
      <c r="AV131" s="38"/>
      <c r="AW131" s="38"/>
      <c r="AX131" s="36">
        <f>AK130</f>
        <v>2.2285153827270259</v>
      </c>
      <c r="AY131" s="36">
        <f>AK127</f>
        <v>4.8514589937413639</v>
      </c>
    </row>
    <row r="132" spans="1:51" x14ac:dyDescent="0.2"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>
        <f>C$26*Sections!$R50+($C$1-Sections!$R50)</f>
        <v>0</v>
      </c>
      <c r="W132" s="29">
        <f>D$26*Sections!$R50+($C$1-Sections!$R50)</f>
        <v>4.8514589937413644E-2</v>
      </c>
      <c r="X132" s="29">
        <f>E$26*Sections!$R50+($C$1-Sections!$R50)</f>
        <v>0.1455437698122409</v>
      </c>
      <c r="Y132" s="29">
        <f>F$26*Sections!$R50+($C$1-Sections!$R50)</f>
        <v>0.24257294968706822</v>
      </c>
      <c r="Z132" s="29">
        <f>G$26*Sections!$R50+($C$1-Sections!$R50)</f>
        <v>0.3396021295618955</v>
      </c>
      <c r="AA132" s="29">
        <f>H$26*Sections!$R50+($C$1-Sections!$R50)</f>
        <v>0.48514589937413644</v>
      </c>
      <c r="AB132" s="29">
        <f>I$26*Sections!$R50+($C$1-Sections!$R50)</f>
        <v>0.72771884906120454</v>
      </c>
      <c r="AC132" s="29">
        <f>J$26*Sections!$R50+($C$1-Sections!$R50)</f>
        <v>0.97029179874827287</v>
      </c>
      <c r="AD132" s="29">
        <f>K$26*Sections!$R50+($C$1-Sections!$R50)</f>
        <v>1.4554376981224091</v>
      </c>
      <c r="AE132" s="29">
        <f>L$26*Sections!$R50+($C$1-Sections!$R50)</f>
        <v>1.9405835974965457</v>
      </c>
      <c r="AF132" s="29">
        <f>M$26*Sections!$R50+($C$1-Sections!$R50)</f>
        <v>2.425729496870682</v>
      </c>
      <c r="AG132" s="29">
        <f>N$26*Sections!$R50+($C$1-Sections!$R50)</f>
        <v>2.9108753962448182</v>
      </c>
      <c r="AH132" s="29">
        <f>O$26*Sections!$R50+($C$1-Sections!$R50)</f>
        <v>3.3960212956189544</v>
      </c>
      <c r="AI132" s="29">
        <f>P$26*Sections!$R50+($C$1-Sections!$R50)</f>
        <v>3.8811671949930915</v>
      </c>
      <c r="AJ132" s="29">
        <f>Q$26*Sections!$R50+($C$1-Sections!$R50)</f>
        <v>4.3663130943672277</v>
      </c>
      <c r="AK132" s="29">
        <f>R$26*Sections!$R50+($C$1-Sections!$R50)</f>
        <v>4.8514589937413639</v>
      </c>
      <c r="AL132" s="29">
        <f>(AM132+AK132)/2</f>
        <v>6.3029825550590042</v>
      </c>
      <c r="AM132" s="234">
        <f>(AO132+AK132)/2</f>
        <v>7.7545061163766444</v>
      </c>
      <c r="AN132" s="29">
        <f>(AO132+AM132)/2</f>
        <v>9.2060296776942856</v>
      </c>
      <c r="AO132" s="231">
        <f>(_xll.Spline('Profile Calcs'!$G$45:$G$65,'Profile Calcs'!$H$45:$H$65,Sections!A50,TRUE))</f>
        <v>10.657553239011925</v>
      </c>
      <c r="AR132" s="29">
        <f>-(-4*AM135+3*AK135+AO135)*(AO132-AK132)*Sections!R50/Sections!Q50</f>
        <v>6.7123048646973302</v>
      </c>
      <c r="AS132" s="29">
        <f>-(-4*AM135+3*AK135+AO135)/(AO132-AK132)</f>
        <v>4.7926083937672809E-2</v>
      </c>
      <c r="AT132" s="29">
        <f>DEGREES(ATAN((AM135-AK135)/(AM132-AK132)))</f>
        <v>8.4250801824676262</v>
      </c>
      <c r="AU132" s="28">
        <f>((AX136-AX135)/AX136)/(AY136/Sections!$R$50)</f>
        <v>0.19911478594635354</v>
      </c>
      <c r="AV132" s="29">
        <f>AL132/COS(AT132*PI()/180)</f>
        <v>6.3717445553351233</v>
      </c>
      <c r="AW132" s="28">
        <f>AV132*SIN(AT132*PI()/180)</f>
        <v>0.93356284687463009</v>
      </c>
      <c r="AX132" s="29">
        <f>AL135-AW132</f>
        <v>0.37644147643550741</v>
      </c>
      <c r="AY132" s="28">
        <v>0</v>
      </c>
    </row>
    <row r="133" spans="1:51" x14ac:dyDescent="0.2">
      <c r="A133" s="28">
        <v>1</v>
      </c>
      <c r="B133" s="28" t="s">
        <v>104</v>
      </c>
      <c r="C133" s="29">
        <f>W$3+W$4*Sections!$F50+W$5*Sections!$G50+W$6*Sections!$H50</f>
        <v>0</v>
      </c>
      <c r="D133" s="29">
        <f>X$3+X$4*Sections!$F50+X$5*Sections!$G50+X$6*Sections!$H50</f>
        <v>1.307451510525547E-4</v>
      </c>
      <c r="E133" s="29">
        <f>Y$3+Y$4*Sections!$F50+Y$5*Sections!$G50+Y$6*Sections!$H50</f>
        <v>1.1836432401218381E-3</v>
      </c>
      <c r="F133" s="29">
        <f>Z$3+Z$4*Sections!$F50+Z$5*Sections!$G50+Z$6*Sections!$H50</f>
        <v>3.3365989944199922E-3</v>
      </c>
      <c r="G133" s="29">
        <f>AA$3+AA$4*Sections!$F50+AA$5*Sections!$G50+AA$6*Sections!$H50</f>
        <v>6.6382891911560635E-3</v>
      </c>
      <c r="H133" s="29">
        <f>AB$3+AB$4*Sections!$F50+AB$5*Sections!$G50+AB$6*Sections!$H50</f>
        <v>1.3836725873067732E-2</v>
      </c>
      <c r="I133" s="29">
        <f>AC$3+AC$4*Sections!$F50+AC$5*Sections!$G50+AC$6*Sections!$H50</f>
        <v>3.2100331469742185E-2</v>
      </c>
      <c r="J133" s="29">
        <f>AD$3+AD$4*Sections!$F50+AD$5*Sections!$G50+AD$6*Sections!$H50</f>
        <v>5.8497904032396936E-2</v>
      </c>
      <c r="K133" s="29">
        <f>AE$3+AE$4*Sections!$F50+AE$5*Sections!$G50+AE$6*Sections!$H50</f>
        <v>0.13602959011823126</v>
      </c>
      <c r="L133" s="29">
        <f>AF$3+AF$4*Sections!$F50+AF$5*Sections!$G50+AF$6*Sections!$H50</f>
        <v>0.24480643839728294</v>
      </c>
      <c r="M133" s="29">
        <f>AG$3+AG$4*Sections!$F50+AG$5*Sections!$G50+AG$6*Sections!$H50</f>
        <v>0.37953170176273149</v>
      </c>
      <c r="N133" s="29">
        <f>AH$3+AH$4*Sections!$F50+AH$5*Sections!$G50+AH$6*Sections!$H50</f>
        <v>0.53123723173422499</v>
      </c>
      <c r="O133" s="29">
        <f>AI$3+AI$4*Sections!$F50+AI$5*Sections!$G50+AI$6*Sections!$H50</f>
        <v>0.6872834784578804</v>
      </c>
      <c r="P133" s="29">
        <f>AJ$3+AJ$4*Sections!$F50+AJ$5*Sections!$G50+AJ$6*Sections!$H50</f>
        <v>0.83135949070628234</v>
      </c>
      <c r="Q133" s="29">
        <f>AK$3+AK$4*Sections!$F50+AK$5*Sections!$G50+AK$6*Sections!$H50</f>
        <v>0.94348291587847954</v>
      </c>
      <c r="R133" s="29">
        <v>1</v>
      </c>
      <c r="S133" s="29">
        <f>AM$3+AM$4*Sections!$F50+AM$5*Sections!$G50+AM$6*Sections!$H50</f>
        <v>0.97358558772282722</v>
      </c>
      <c r="T133" s="29">
        <f>AN$3+AN$4*Sections!$F50+AN$5*Sections!$G50+AN$6*Sections!$H50</f>
        <v>0.83324312232541797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34"/>
      <c r="AN133" s="29"/>
      <c r="AO133" s="231"/>
      <c r="AR133" s="29"/>
      <c r="AS133" s="29"/>
      <c r="AT133" s="29"/>
      <c r="AX133" s="29">
        <f>AL135</f>
        <v>1.3100043233101375</v>
      </c>
      <c r="AY133" s="29">
        <f>AL132</f>
        <v>6.3029825550590042</v>
      </c>
    </row>
    <row r="134" spans="1:51" x14ac:dyDescent="0.2">
      <c r="B134" s="28" t="s">
        <v>103</v>
      </c>
      <c r="C134" s="29" t="e">
        <f>Sections!$O50*C$13+Sections!$N50-Sections!$L50/(C$13+Sections!$M50)</f>
        <v>#DIV/0!</v>
      </c>
      <c r="D134" s="29">
        <f>Sections!$O50*D$13+Sections!$N50-Sections!$L50/(D$13+Sections!$M50)</f>
        <v>0.80287636191310996</v>
      </c>
      <c r="E134" s="29">
        <f>Sections!$O50*E$13+Sections!$N50-Sections!$L50/(E$13+Sections!$M50)</f>
        <v>0.80685865763203701</v>
      </c>
      <c r="F134" s="29">
        <f>Sections!$O50*F$13+Sections!$N50-Sections!$L50/(F$13+Sections!$M50)</f>
        <v>0.81084095335096407</v>
      </c>
      <c r="G134" s="29">
        <f>Sections!$O50*G$13+Sections!$N50-Sections!$L50/(G$13+Sections!$M50)</f>
        <v>0.81482324906989123</v>
      </c>
      <c r="H134" s="29">
        <f>Sections!$O50*H$13+Sections!$N50-Sections!$L50/(H$13+Sections!$M50)</f>
        <v>0.82079669264828181</v>
      </c>
      <c r="I134" s="29">
        <f>Sections!$O50*I$13+Sections!$N50-Sections!$L50/(I$13+Sections!$M50)</f>
        <v>0.83075243194559945</v>
      </c>
      <c r="J134" s="29">
        <f>Sections!$O50*J$13+Sections!$N50-Sections!$L50/(J$13+Sections!$M50)</f>
        <v>0.84070817124291719</v>
      </c>
      <c r="K134" s="29">
        <f>Sections!$O50*K$13+Sections!$N50-Sections!$L50/(K$13+Sections!$M50)</f>
        <v>0.86061964983755246</v>
      </c>
      <c r="L134" s="29">
        <f>Sections!$O50*L$13+Sections!$N50-Sections!$L50/(L$13+Sections!$M50)</f>
        <v>0.88053112843218784</v>
      </c>
      <c r="M134" s="29">
        <f>Sections!$O50*M$13+Sections!$N50-Sections!$L50/(M$13+Sections!$M50)</f>
        <v>0.90044260702682322</v>
      </c>
      <c r="N134" s="29">
        <f>Sections!$O50*N$13+Sections!$N50-Sections!$L50/(N$13+Sections!$M50)</f>
        <v>0.9203540856214586</v>
      </c>
      <c r="O134" s="29">
        <f>Sections!$O50*O$13+Sections!$N50-Sections!$L50/(O$13+Sections!$M50)</f>
        <v>0.94026556421609386</v>
      </c>
      <c r="P134" s="29">
        <f>Sections!$O50*P$13+Sections!$N50-Sections!$L50/(P$13+Sections!$M50)</f>
        <v>0.96017704281072924</v>
      </c>
      <c r="Q134" s="29">
        <f>Sections!$O50*Q$13+Sections!$N50-Sections!$L50/(Q$13+Sections!$M50)</f>
        <v>0.98008852140536462</v>
      </c>
      <c r="R134" s="29">
        <v>1</v>
      </c>
      <c r="S134" s="29">
        <f>Sections!$O50*S$13+Sections!$N50-Sections!$L50/(S$13+Sections!$M50)</f>
        <v>1.0199114785946353</v>
      </c>
      <c r="T134" s="29">
        <f>Sections!$O50*T$13+Sections!$N50-Sections!$L50/(T$13+Sections!$M50)</f>
        <v>1.0398229571892708</v>
      </c>
      <c r="U134" s="36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34"/>
      <c r="AN134" s="29"/>
      <c r="AO134" s="231"/>
      <c r="AR134" s="29"/>
      <c r="AS134" s="29"/>
      <c r="AT134" s="29"/>
      <c r="AV134" s="38"/>
      <c r="AW134" s="38"/>
      <c r="AX134" s="38"/>
      <c r="AY134" s="38"/>
    </row>
    <row r="135" spans="1:51" x14ac:dyDescent="0.2">
      <c r="C135" s="29">
        <f>IF(Sections!$B50&lt;0.72,C133,C134)</f>
        <v>0</v>
      </c>
      <c r="D135" s="29">
        <f>IF(Sections!$B50&lt;0.72,D133,D134)</f>
        <v>1.307451510525547E-4</v>
      </c>
      <c r="E135" s="29">
        <f>IF(Sections!$B50&lt;0.72,E133,E134)</f>
        <v>1.1836432401218381E-3</v>
      </c>
      <c r="F135" s="29">
        <f>IF(Sections!$B50&lt;0.72,F133,F134)</f>
        <v>3.3365989944199922E-3</v>
      </c>
      <c r="G135" s="29">
        <f>IF(Sections!$B50&lt;0.72,G133,G134)</f>
        <v>6.6382891911560635E-3</v>
      </c>
      <c r="H135" s="29">
        <f>IF(Sections!$B50&lt;0.72,H133,H134)</f>
        <v>1.3836725873067732E-2</v>
      </c>
      <c r="I135" s="29">
        <f>IF(Sections!$B50&lt;0.72,I133,I134)</f>
        <v>3.2100331469742185E-2</v>
      </c>
      <c r="J135" s="29">
        <f>IF(Sections!$B50&lt;0.72,J133,J134)</f>
        <v>5.8497904032396936E-2</v>
      </c>
      <c r="K135" s="29">
        <f>IF(Sections!$B50&lt;0.72,K133,K134)</f>
        <v>0.13602959011823126</v>
      </c>
      <c r="L135" s="29">
        <f>IF(Sections!$B50&lt;0.72,L133,L134)</f>
        <v>0.24480643839728294</v>
      </c>
      <c r="M135" s="29">
        <f>IF(Sections!$B50&lt;0.72,M133,M134)</f>
        <v>0.37953170176273149</v>
      </c>
      <c r="N135" s="29">
        <f>IF(Sections!$B50&lt;0.72,N133,N134)</f>
        <v>0.53123723173422499</v>
      </c>
      <c r="O135" s="29">
        <f>IF(Sections!$B50&lt;0.72,O133,O134)</f>
        <v>0.6872834784578804</v>
      </c>
      <c r="P135" s="29">
        <f>IF(Sections!$B50&lt;0.72,P133,P134)</f>
        <v>0.83135949070628234</v>
      </c>
      <c r="Q135" s="29">
        <f>IF(Sections!$B50&lt;0.72,Q133,Q134)</f>
        <v>0.94348291587847954</v>
      </c>
      <c r="R135" s="29">
        <v>1</v>
      </c>
      <c r="S135" s="29">
        <f>IF(Sections!$B50&lt;0.72,S133,S134)</f>
        <v>0.97358558772282722</v>
      </c>
      <c r="T135" s="29">
        <f>IF(Sections!$B50&lt;0.72,T133,T134)</f>
        <v>0.83324312232541797</v>
      </c>
      <c r="U135" s="29"/>
      <c r="V135" s="29">
        <f>C135*Sections!$Q50</f>
        <v>0</v>
      </c>
      <c r="W135" s="29">
        <f>D135*Sections!$Q50</f>
        <v>1.5267445869010648E-4</v>
      </c>
      <c r="X135" s="29">
        <f>E135*Sections!$Q50</f>
        <v>1.3821705012613875E-3</v>
      </c>
      <c r="Y135" s="29">
        <f>F135*Sections!$Q50</f>
        <v>3.8962320303126243E-3</v>
      </c>
      <c r="Z135" s="29">
        <f>G135*Sections!$Q50</f>
        <v>7.7517001642435556E-3</v>
      </c>
      <c r="AA135" s="29">
        <f>H135*Sections!$Q50</f>
        <v>1.6157498887777906E-2</v>
      </c>
      <c r="AB135" s="29">
        <f>I135*Sections!$Q50</f>
        <v>3.7484378513937378E-2</v>
      </c>
      <c r="AC135" s="29">
        <f>J135*Sections!$Q50</f>
        <v>6.8309499516827313E-2</v>
      </c>
      <c r="AD135" s="29">
        <f>K135*Sections!$Q50</f>
        <v>0.15884523341741333</v>
      </c>
      <c r="AE135" s="29">
        <f>L135*Sections!$Q50</f>
        <v>0.28586674278371083</v>
      </c>
      <c r="AF135" s="29">
        <f>M135*Sections!$Q50</f>
        <v>0.44318888047380284</v>
      </c>
      <c r="AG135" s="29">
        <f>N135*Sections!$Q50</f>
        <v>0.62033931000968223</v>
      </c>
      <c r="AH135" s="29">
        <f>O135*Sections!$Q50</f>
        <v>0.80255850557725184</v>
      </c>
      <c r="AI135" s="29">
        <f>P135*Sections!$Q50</f>
        <v>0.97079975202632318</v>
      </c>
      <c r="AJ135" s="29">
        <f>Q135*Sections!$Q50</f>
        <v>1.1017291448706124</v>
      </c>
      <c r="AK135" s="29">
        <f>R135*Sections!$Q50</f>
        <v>1.1677255902877577</v>
      </c>
      <c r="AL135" s="29">
        <f>(2*AO135+2*AK135-4*AM135)*0.25^2+(4*AM135-3*AK135-AO135)*0.25+AK135</f>
        <v>1.3100043233101375</v>
      </c>
      <c r="AM135" s="234">
        <f>_xll.Spline('Mid Upr WL Opt1 Calcs'!$O$24:$O$44,'Cxx Selected'!$I$77:$I$97,Sections!A50,TRUE)</f>
        <v>1.5977088423028389</v>
      </c>
      <c r="AN135" s="29">
        <f>(2*AO135+2*AK135-4*AM135)*0.75^2+(4*AM135-3*AK135-AO135)*0.75+AK135</f>
        <v>2.030839147265862</v>
      </c>
      <c r="AO135" s="231">
        <f>_xll.Spline('CWD Opt1 Calcs'!$J$26:$J$46,'Cxx Selected'!$I$52:$I$72,Sections!A50,TRUE)</f>
        <v>2.6093952381992067</v>
      </c>
      <c r="AR135" s="29"/>
      <c r="AS135" s="29"/>
      <c r="AT135" s="29"/>
      <c r="AV135" s="38"/>
      <c r="AW135" s="38"/>
      <c r="AX135" s="36">
        <f>AK135-AS132*AK132</f>
        <v>0.93521415933353147</v>
      </c>
      <c r="AY135" s="38">
        <v>0</v>
      </c>
    </row>
    <row r="136" spans="1:51" x14ac:dyDescent="0.2"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34"/>
      <c r="AN136" s="29"/>
      <c r="AO136" s="231"/>
      <c r="AR136" s="29"/>
      <c r="AS136" s="29"/>
      <c r="AT136" s="29"/>
      <c r="AV136" s="38"/>
      <c r="AW136" s="38"/>
      <c r="AX136" s="36">
        <f>AK135</f>
        <v>1.1677255902877577</v>
      </c>
      <c r="AY136" s="36">
        <f>AK132</f>
        <v>4.8514589937413639</v>
      </c>
    </row>
    <row r="137" spans="1:51" x14ac:dyDescent="0.2">
      <c r="A137" s="29"/>
      <c r="B137" s="62" t="s">
        <v>105</v>
      </c>
      <c r="C137" s="62" t="s">
        <v>143</v>
      </c>
      <c r="D137" s="62" t="s">
        <v>105</v>
      </c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>
        <f>R$26*Sections!$R51+($C$1-Sections!$R51)</f>
        <v>4.8514589937413639</v>
      </c>
      <c r="AL137" s="29">
        <f>(AM137+AK137)/2</f>
        <v>6.4175142136774248</v>
      </c>
      <c r="AM137" s="234">
        <f>(AO137+AK137)/2</f>
        <v>7.9835694336134848</v>
      </c>
      <c r="AN137" s="29">
        <f>(AO137+AM137)/2</f>
        <v>9.5496246535495448</v>
      </c>
      <c r="AO137" s="231">
        <f>(_xll.Spline('Profile Calcs'!$G$45:$G$65,'Profile Calcs'!$H$45:$H$65,Sections!A51,TRUE))</f>
        <v>11.115679873485606</v>
      </c>
      <c r="AR137" s="29">
        <f>-(-4*AM140+3*AK140+AO140)*(AO137-AK137)*Sections!R51/Sections!Q51</f>
        <v>0</v>
      </c>
      <c r="AS137" s="29">
        <f>-(-4*AM140+3*AK140+AO140)/(AO137-AK137)</f>
        <v>2.6887051943289712E-2</v>
      </c>
      <c r="AT137" s="29">
        <f>DEGREES(ATAN((AM140-AK140)/(AM137-AK137)))</f>
        <v>6.6814708675675938</v>
      </c>
      <c r="AU137" s="28" t="e">
        <f>((AX141-AX140)/AX141)/(AY141/Sections!$R$51)</f>
        <v>#DIV/0!</v>
      </c>
      <c r="AV137" s="29">
        <f>AL137/COS(AT137*PI()/180)</f>
        <v>6.4613979072297649</v>
      </c>
      <c r="AW137" s="28">
        <f>AV137*SIN(AT137*PI()/180)</f>
        <v>0.75178070792047991</v>
      </c>
      <c r="AX137" s="29">
        <f>AL140-AW137</f>
        <v>-0.6389995118604711</v>
      </c>
      <c r="AY137" s="28">
        <v>0</v>
      </c>
    </row>
    <row r="138" spans="1:51" x14ac:dyDescent="0.2">
      <c r="A138" s="28">
        <f>Sections!A31</f>
        <v>20</v>
      </c>
      <c r="B138" s="29">
        <f>Sections!D31</f>
        <v>39.829560511310717</v>
      </c>
      <c r="C138" s="30">
        <f>Sections!C31</f>
        <v>1.2824749470946111</v>
      </c>
      <c r="D138" s="28">
        <f>Sections!V31</f>
        <v>38.547085564216104</v>
      </c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34"/>
      <c r="AN138" s="29"/>
      <c r="AO138" s="231"/>
      <c r="AX138" s="29">
        <f>AL140</f>
        <v>0.11278119606000885</v>
      </c>
      <c r="AY138" s="29">
        <f>AL137</f>
        <v>6.4175142136774248</v>
      </c>
    </row>
    <row r="139" spans="1:51" x14ac:dyDescent="0.2">
      <c r="A139" s="28">
        <f>Sections!A32</f>
        <v>19</v>
      </c>
      <c r="B139" s="29">
        <f>Sections!D32</f>
        <v>45.462668481033795</v>
      </c>
      <c r="C139" s="30">
        <f>Sections!C32</f>
        <v>4.1395034771483425</v>
      </c>
      <c r="D139" s="28">
        <f>Sections!V32</f>
        <v>41.32316500388545</v>
      </c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34"/>
      <c r="AN139" s="29"/>
      <c r="AO139" s="231"/>
      <c r="AV139" s="38"/>
      <c r="AW139" s="38"/>
      <c r="AX139" s="38"/>
      <c r="AY139" s="38"/>
    </row>
    <row r="140" spans="1:51" x14ac:dyDescent="0.2">
      <c r="A140" s="28">
        <f>Sections!A33</f>
        <v>18</v>
      </c>
      <c r="B140" s="29">
        <f>Sections!D33</f>
        <v>36.858886281317503</v>
      </c>
      <c r="C140" s="30">
        <f>Sections!C33</f>
        <v>5.2719322788055427</v>
      </c>
      <c r="D140" s="28">
        <f>Sections!V33</f>
        <v>31.586954002511959</v>
      </c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>
        <v>0</v>
      </c>
      <c r="AL140" s="29">
        <f>(2*AO140+2*AK140-4*AM140)*0.25^2+(4*AM140-3*AK140-AO140)*0.25+AK140</f>
        <v>0.11278119606000885</v>
      </c>
      <c r="AM140" s="234">
        <f>_xll.Spline('Mid Upr WL Opt1 Calcs'!$O$24:$O$44,'Cxx Selected'!$I$77:$I$97,Sections!A51,TRUE)</f>
        <v>0.36691156815107367</v>
      </c>
      <c r="AN140" s="29">
        <f>(2*AO140+2*AK140-4*AM140)*0.75^2+(4*AM140-3*AK140-AO140)*0.75+AK140</f>
        <v>0.76239111627319445</v>
      </c>
      <c r="AO140" s="231">
        <f>_xll.Spline('CWD Opt1 Calcs'!$J$26:$J$46,'Cxx Selected'!$I$52:$I$72,Sections!A51,TRUE)</f>
        <v>1.2992198404263713</v>
      </c>
      <c r="AV140" s="38"/>
      <c r="AW140" s="38"/>
      <c r="AX140" s="36">
        <f>AK140-AS137*AK137</f>
        <v>-0.1304414299654641</v>
      </c>
      <c r="AY140" s="38">
        <v>0</v>
      </c>
    </row>
    <row r="141" spans="1:51" x14ac:dyDescent="0.2">
      <c r="A141" s="28">
        <f>Sections!A34</f>
        <v>17</v>
      </c>
      <c r="B141" s="29">
        <f>Sections!D34</f>
        <v>32.601751124332495</v>
      </c>
      <c r="C141" s="30">
        <f>Sections!C34</f>
        <v>3.9982682321119314</v>
      </c>
      <c r="D141" s="28">
        <f>Sections!V34</f>
        <v>28.603482892220562</v>
      </c>
      <c r="AV141" s="38"/>
      <c r="AW141" s="38"/>
      <c r="AX141" s="36">
        <f>AK140</f>
        <v>0</v>
      </c>
      <c r="AY141" s="36">
        <f>AK137</f>
        <v>4.8514589937413639</v>
      </c>
    </row>
    <row r="142" spans="1:51" x14ac:dyDescent="0.2">
      <c r="A142" s="28">
        <f>Sections!A35</f>
        <v>16</v>
      </c>
      <c r="B142" s="29">
        <f>Sections!D35</f>
        <v>30.451384350955646</v>
      </c>
      <c r="C142" s="30">
        <f>Sections!C35</f>
        <v>0.94370153142118629</v>
      </c>
      <c r="D142" s="28">
        <f>Sections!V35</f>
        <v>29.507682819534459</v>
      </c>
    </row>
    <row r="143" spans="1:51" x14ac:dyDescent="0.2">
      <c r="A143" s="28">
        <f>Sections!A36</f>
        <v>15</v>
      </c>
      <c r="B143" s="29">
        <f>Sections!D36</f>
        <v>26.910017201086891</v>
      </c>
      <c r="C143" s="30">
        <f>Sections!C36</f>
        <v>0</v>
      </c>
      <c r="D143" s="28">
        <f>Sections!V36</f>
        <v>0.57293869768348316</v>
      </c>
    </row>
    <row r="144" spans="1:51" x14ac:dyDescent="0.2">
      <c r="A144" s="28">
        <f>Sections!A37</f>
        <v>14</v>
      </c>
      <c r="B144" s="29">
        <f>Sections!D37</f>
        <v>19.215311704494169</v>
      </c>
      <c r="C144" s="30">
        <f>Sections!C37</f>
        <v>0</v>
      </c>
      <c r="D144" s="28">
        <f>Sections!V37</f>
        <v>19.215311704494169</v>
      </c>
    </row>
    <row r="145" spans="1:4" x14ac:dyDescent="0.2">
      <c r="A145" s="28">
        <f>Sections!A38</f>
        <v>13</v>
      </c>
      <c r="B145" s="29">
        <f>Sections!D38</f>
        <v>16.559295960007802</v>
      </c>
      <c r="C145" s="30">
        <f>Sections!C38</f>
        <v>0</v>
      </c>
      <c r="D145" s="28">
        <f>Sections!V38</f>
        <v>16.559295960007802</v>
      </c>
    </row>
    <row r="146" spans="1:4" x14ac:dyDescent="0.2">
      <c r="A146" s="28">
        <f>Sections!A39</f>
        <v>12</v>
      </c>
      <c r="B146" s="29">
        <f>Sections!D39</f>
        <v>13.35150633328324</v>
      </c>
      <c r="C146" s="30">
        <f>Sections!C39</f>
        <v>0</v>
      </c>
      <c r="D146" s="28">
        <f>Sections!V39</f>
        <v>13.35150633328324</v>
      </c>
    </row>
    <row r="147" spans="1:4" x14ac:dyDescent="0.2">
      <c r="A147" s="28">
        <f>Sections!A40</f>
        <v>11</v>
      </c>
      <c r="B147" s="29">
        <f>Sections!D40</f>
        <v>10.493884578402586</v>
      </c>
      <c r="C147" s="30">
        <f>Sections!C40</f>
        <v>0</v>
      </c>
      <c r="D147" s="28">
        <f>Sections!V40</f>
        <v>10.493884578402586</v>
      </c>
    </row>
    <row r="148" spans="1:4" x14ac:dyDescent="0.2">
      <c r="A148" s="28">
        <f>Sections!A41</f>
        <v>10</v>
      </c>
      <c r="B148" s="29">
        <f>Sections!D41</f>
        <v>8.2209098305567778</v>
      </c>
      <c r="C148" s="30">
        <f>Sections!C41</f>
        <v>1.5866545434905122</v>
      </c>
      <c r="D148" s="28">
        <f>Sections!V41</f>
        <v>8.2209098305567778</v>
      </c>
    </row>
    <row r="149" spans="1:4" x14ac:dyDescent="0.2">
      <c r="A149" s="28">
        <f>Sections!A42</f>
        <v>9</v>
      </c>
      <c r="B149" s="29">
        <f>Sections!D42</f>
        <v>5.5467527921985322</v>
      </c>
      <c r="C149" s="30">
        <f>Sections!C42</f>
        <v>6.7412857962523534</v>
      </c>
      <c r="D149" s="28">
        <f>Sections!V42</f>
        <v>5.5467527921985322</v>
      </c>
    </row>
    <row r="150" spans="1:4" x14ac:dyDescent="0.2">
      <c r="A150" s="28">
        <f>Sections!A43</f>
        <v>8</v>
      </c>
      <c r="B150" s="29">
        <f>Sections!D43</f>
        <v>3.3683261971741558</v>
      </c>
      <c r="C150" s="30">
        <f>Sections!C43</f>
        <v>12.18096917290892</v>
      </c>
      <c r="D150" s="28">
        <f>Sections!V43</f>
        <v>3.3683261971741558</v>
      </c>
    </row>
    <row r="151" spans="1:4" x14ac:dyDescent="0.2">
      <c r="A151" s="28">
        <f>Sections!A44</f>
        <v>7</v>
      </c>
      <c r="B151" s="29">
        <f>Sections!D44</f>
        <v>2.1324176288467243</v>
      </c>
      <c r="C151" s="30">
        <f>Sections!C44</f>
        <v>17.126677105651122</v>
      </c>
      <c r="D151" s="28">
        <f>Sections!V44</f>
        <v>2.1324176288467243</v>
      </c>
    </row>
    <row r="152" spans="1:4" x14ac:dyDescent="0.2">
      <c r="A152" s="28">
        <f>Sections!A45</f>
        <v>6</v>
      </c>
      <c r="B152" s="29">
        <f>Sections!D45</f>
        <v>1.7512762740252583</v>
      </c>
      <c r="C152" s="30">
        <f>Sections!C45</f>
        <v>20.91061085942356</v>
      </c>
      <c r="D152" s="28">
        <f>Sections!V45</f>
        <v>1.7512762740252583</v>
      </c>
    </row>
    <row r="153" spans="1:4" x14ac:dyDescent="0.2">
      <c r="A153" s="28">
        <f>Sections!A46</f>
        <v>5</v>
      </c>
      <c r="B153" s="29">
        <f>Sections!D46</f>
        <v>3.3123586654853199</v>
      </c>
      <c r="C153" s="30">
        <f>Sections!C46</f>
        <v>23.081547036781732</v>
      </c>
      <c r="D153" s="28">
        <f>Sections!V46</f>
        <v>3.3123586654853199</v>
      </c>
    </row>
    <row r="154" spans="1:4" x14ac:dyDescent="0.2">
      <c r="A154" s="28">
        <f>Sections!A47</f>
        <v>4</v>
      </c>
      <c r="B154" s="29">
        <f>Sections!D47</f>
        <v>28.255931538698892</v>
      </c>
      <c r="C154" s="30">
        <f>Sections!C47</f>
        <v>23.319003646585781</v>
      </c>
      <c r="D154" s="28">
        <f>Sections!V47</f>
        <v>0.99939008042304067</v>
      </c>
    </row>
    <row r="155" spans="1:4" x14ac:dyDescent="0.2">
      <c r="A155" s="28">
        <f>Sections!A48</f>
        <v>3</v>
      </c>
      <c r="B155" s="28">
        <v>26</v>
      </c>
      <c r="C155" s="30">
        <f>Sections!C48</f>
        <v>21.351537351515862</v>
      </c>
      <c r="D155" s="28">
        <f>Sections!V48</f>
        <v>0.93461231240077325</v>
      </c>
    </row>
    <row r="156" spans="1:4" x14ac:dyDescent="0.2">
      <c r="A156" s="28">
        <f>Sections!A49</f>
        <v>2</v>
      </c>
      <c r="B156" s="28">
        <v>40</v>
      </c>
      <c r="C156" s="30">
        <f>Sections!C49</f>
        <v>17.086278655224003</v>
      </c>
      <c r="D156" s="28">
        <f>Sections!V49</f>
        <v>0.82351853997839441</v>
      </c>
    </row>
    <row r="157" spans="1:4" x14ac:dyDescent="0.2">
      <c r="A157" s="28">
        <f>Sections!A50</f>
        <v>1</v>
      </c>
      <c r="B157" s="28">
        <v>60</v>
      </c>
      <c r="C157" s="30">
        <f>Sections!C50</f>
        <v>11.261155885047669</v>
      </c>
      <c r="D157" s="28">
        <f>Sections!V50</f>
        <v>0.71359451710253552</v>
      </c>
    </row>
    <row r="164" spans="4:4" x14ac:dyDescent="0.2">
      <c r="D164" s="30"/>
    </row>
    <row r="166" spans="4:4" x14ac:dyDescent="0.2">
      <c r="D166" s="30"/>
    </row>
    <row r="168" spans="4:4" x14ac:dyDescent="0.2">
      <c r="D168" s="30"/>
    </row>
    <row r="169" spans="4:4" x14ac:dyDescent="0.2">
      <c r="D169" s="30"/>
    </row>
    <row r="170" spans="4:4" x14ac:dyDescent="0.2">
      <c r="D170" s="30"/>
    </row>
    <row r="171" spans="4:4" x14ac:dyDescent="0.2">
      <c r="D171" s="30"/>
    </row>
    <row r="173" spans="4:4" x14ac:dyDescent="0.2">
      <c r="D173" s="30"/>
    </row>
    <row r="174" spans="4:4" x14ac:dyDescent="0.2">
      <c r="D174" s="30"/>
    </row>
    <row r="175" spans="4:4" x14ac:dyDescent="0.2">
      <c r="D175" s="30"/>
    </row>
    <row r="176" spans="4:4" x14ac:dyDescent="0.2">
      <c r="D176" s="30"/>
    </row>
    <row r="177" spans="4:4" x14ac:dyDescent="0.2">
      <c r="D177" s="30"/>
    </row>
    <row r="178" spans="4:4" x14ac:dyDescent="0.2">
      <c r="D178" s="30"/>
    </row>
    <row r="179" spans="4:4" x14ac:dyDescent="0.2">
      <c r="D179" s="30"/>
    </row>
    <row r="180" spans="4:4" x14ac:dyDescent="0.2">
      <c r="D180" s="30"/>
    </row>
    <row r="181" spans="4:4" x14ac:dyDescent="0.2">
      <c r="D181" s="30"/>
    </row>
    <row r="182" spans="4:4" x14ac:dyDescent="0.2">
      <c r="D182" s="30"/>
    </row>
    <row r="183" spans="4:4" x14ac:dyDescent="0.2">
      <c r="D183" s="30"/>
    </row>
  </sheetData>
  <phoneticPr fontId="12" type="noConversion"/>
  <conditionalFormatting sqref="I7">
    <cfRule type="cellIs" dxfId="1" priority="1" stopIfTrue="1" operator="greaterThan">
      <formula>0.72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42"/>
  <sheetViews>
    <sheetView topLeftCell="D1" workbookViewId="0">
      <selection activeCell="B22" sqref="B22"/>
    </sheetView>
  </sheetViews>
  <sheetFormatPr defaultRowHeight="12.75" x14ac:dyDescent="0.2"/>
  <cols>
    <col min="1" max="5" width="9.140625" style="28"/>
    <col min="6" max="6" width="10.42578125" style="28" bestFit="1" customWidth="1"/>
    <col min="7" max="7" width="13.7109375" style="28" bestFit="1" customWidth="1"/>
    <col min="8" max="10" width="9.140625" style="28"/>
    <col min="11" max="11" width="12.5703125" style="28" customWidth="1"/>
    <col min="12" max="15" width="9.140625" style="28"/>
    <col min="16" max="16" width="10" style="28" bestFit="1" customWidth="1"/>
    <col min="17" max="22" width="9.140625" style="28"/>
    <col min="23" max="23" width="6.140625" style="28" bestFit="1" customWidth="1"/>
    <col min="24" max="27" width="12" style="28" bestFit="1" customWidth="1"/>
    <col min="28" max="28" width="8" style="28" bestFit="1" customWidth="1"/>
    <col min="29" max="29" width="12" style="28" bestFit="1" customWidth="1"/>
    <col min="30" max="30" width="6" style="28" bestFit="1" customWidth="1"/>
    <col min="31" max="31" width="8" style="28" bestFit="1" customWidth="1"/>
    <col min="32" max="32" width="6.5703125" style="28" bestFit="1" customWidth="1"/>
    <col min="33" max="33" width="8.5703125" style="28" bestFit="1" customWidth="1"/>
    <col min="34" max="34" width="6.5703125" style="28" bestFit="1" customWidth="1"/>
    <col min="35" max="35" width="8.5703125" style="28" bestFit="1" customWidth="1"/>
    <col min="36" max="36" width="6.5703125" style="28" bestFit="1" customWidth="1"/>
    <col min="37" max="37" width="8.5703125" style="28" bestFit="1" customWidth="1"/>
    <col min="38" max="38" width="6.140625" style="28" bestFit="1" customWidth="1"/>
    <col min="39" max="39" width="8.5703125" style="28" bestFit="1" customWidth="1"/>
    <col min="40" max="40" width="6.5703125" style="28" bestFit="1" customWidth="1"/>
    <col min="41" max="42" width="6.140625" style="28" bestFit="1" customWidth="1"/>
    <col min="43" max="43" width="6.140625" style="28" customWidth="1"/>
    <col min="44" max="44" width="6.5703125" style="28" bestFit="1" customWidth="1"/>
    <col min="45" max="45" width="6.5703125" style="28" customWidth="1"/>
    <col min="46" max="46" width="9.140625" style="28" bestFit="1"/>
    <col min="47" max="47" width="4.85546875" style="28" customWidth="1"/>
    <col min="48" max="48" width="5.5703125" style="28" bestFit="1" customWidth="1"/>
    <col min="49" max="49" width="5.140625" style="28" bestFit="1" customWidth="1"/>
    <col min="50" max="57" width="6.140625" style="28" bestFit="1" customWidth="1"/>
    <col min="58" max="60" width="6.140625" style="28" customWidth="1"/>
    <col min="61" max="61" width="6.5703125" style="28" bestFit="1" customWidth="1"/>
    <col min="62" max="16384" width="9.140625" style="28"/>
  </cols>
  <sheetData>
    <row r="1" spans="2:41" x14ac:dyDescent="0.2">
      <c r="B1" s="28" t="s">
        <v>100</v>
      </c>
      <c r="C1" s="28">
        <f>Inputs!$B$6</f>
        <v>4.8514589937413639</v>
      </c>
      <c r="I1" s="28" t="s">
        <v>112</v>
      </c>
      <c r="J1" s="28" t="s">
        <v>75</v>
      </c>
      <c r="K1" s="28" t="s">
        <v>113</v>
      </c>
      <c r="W1" s="28" t="s">
        <v>115</v>
      </c>
    </row>
    <row r="2" spans="2:41" x14ac:dyDescent="0.2">
      <c r="F2" s="28" t="s">
        <v>110</v>
      </c>
      <c r="G2" s="28" t="s">
        <v>109</v>
      </c>
      <c r="I2" s="28" t="s">
        <v>107</v>
      </c>
      <c r="J2" s="28" t="s">
        <v>106</v>
      </c>
      <c r="K2" s="28" t="s">
        <v>108</v>
      </c>
      <c r="W2" s="28">
        <v>0</v>
      </c>
      <c r="X2" s="28">
        <v>0.01</v>
      </c>
      <c r="Y2" s="28">
        <v>0.03</v>
      </c>
      <c r="Z2" s="28">
        <v>0.05</v>
      </c>
      <c r="AA2" s="28">
        <v>7.0000000000000007E-2</v>
      </c>
      <c r="AB2" s="28">
        <v>0.1</v>
      </c>
      <c r="AC2" s="28">
        <v>0.15</v>
      </c>
      <c r="AD2" s="28">
        <v>0.2</v>
      </c>
      <c r="AE2" s="28">
        <v>0.3</v>
      </c>
      <c r="AF2" s="28">
        <v>0.4</v>
      </c>
      <c r="AG2" s="28">
        <v>0.5</v>
      </c>
      <c r="AH2" s="28">
        <v>0.6</v>
      </c>
      <c r="AI2" s="28">
        <v>0.7</v>
      </c>
      <c r="AJ2" s="28">
        <v>0.8</v>
      </c>
      <c r="AK2" s="28">
        <v>0.9</v>
      </c>
      <c r="AL2" s="28">
        <v>1</v>
      </c>
      <c r="AM2" s="28">
        <v>1.1000000000000001</v>
      </c>
      <c r="AN2" s="28">
        <v>1.2</v>
      </c>
    </row>
    <row r="3" spans="2:41" x14ac:dyDescent="0.2">
      <c r="D3" s="28">
        <v>1</v>
      </c>
      <c r="F3" s="28">
        <v>0</v>
      </c>
      <c r="G3" s="28">
        <v>10</v>
      </c>
      <c r="I3" s="40">
        <v>0.80100000000000005</v>
      </c>
      <c r="J3" s="28">
        <f>TAN(F3*PI()/180)</f>
        <v>0</v>
      </c>
      <c r="K3" s="30">
        <f>1/TAN(G3*PI()/180)</f>
        <v>5.6712818196177093</v>
      </c>
      <c r="W3" s="28">
        <f t="shared" ref="W3:AN3" si="0">-12*W2^2+28*W2^3-15*W2^4</f>
        <v>0</v>
      </c>
      <c r="X3" s="28">
        <f t="shared" si="0"/>
        <v>-1.1721500000000001E-3</v>
      </c>
      <c r="Y3" s="28">
        <f t="shared" si="0"/>
        <v>-1.0056150000000002E-2</v>
      </c>
      <c r="Z3" s="28">
        <f t="shared" si="0"/>
        <v>-2.6593750000000006E-2</v>
      </c>
      <c r="AA3" s="28">
        <f t="shared" si="0"/>
        <v>-4.9556150000000007E-2</v>
      </c>
      <c r="AB3" s="28">
        <f t="shared" si="0"/>
        <v>-9.3500000000000014E-2</v>
      </c>
      <c r="AC3" s="28">
        <f t="shared" si="0"/>
        <v>-0.18309375000000003</v>
      </c>
      <c r="AD3" s="28">
        <f t="shared" si="0"/>
        <v>-0.28000000000000003</v>
      </c>
      <c r="AE3" s="28">
        <f t="shared" si="0"/>
        <v>-0.44550000000000006</v>
      </c>
      <c r="AF3" s="28">
        <f t="shared" si="0"/>
        <v>-0.51200000000000001</v>
      </c>
      <c r="AG3" s="28">
        <f t="shared" si="0"/>
        <v>-0.4375</v>
      </c>
      <c r="AH3" s="28">
        <f t="shared" si="0"/>
        <v>-0.21600000000000019</v>
      </c>
      <c r="AI3" s="28">
        <f t="shared" si="0"/>
        <v>0.12249999999999961</v>
      </c>
      <c r="AJ3" s="28">
        <f t="shared" si="0"/>
        <v>0.51199999999999957</v>
      </c>
      <c r="AK3" s="28">
        <f t="shared" si="0"/>
        <v>0.85050000000000026</v>
      </c>
      <c r="AL3" s="28">
        <f t="shared" si="0"/>
        <v>1</v>
      </c>
      <c r="AM3" s="28">
        <f t="shared" si="0"/>
        <v>0.7865000000000073</v>
      </c>
      <c r="AN3" s="28">
        <f t="shared" si="0"/>
        <v>0</v>
      </c>
    </row>
    <row r="4" spans="2:41" x14ac:dyDescent="0.2">
      <c r="W4" s="28">
        <f t="shared" ref="W4:AN4" si="1">30*W2^2-60*W2^3+30*W2^4</f>
        <v>0</v>
      </c>
      <c r="X4" s="28">
        <f t="shared" si="1"/>
        <v>2.9402999999999999E-3</v>
      </c>
      <c r="Y4" s="28">
        <f t="shared" si="1"/>
        <v>2.5404300000000001E-2</v>
      </c>
      <c r="Z4" s="28">
        <f t="shared" si="1"/>
        <v>6.7687499999999998E-2</v>
      </c>
      <c r="AA4" s="28">
        <f t="shared" si="1"/>
        <v>0.12714030000000001</v>
      </c>
      <c r="AB4" s="28">
        <f t="shared" si="1"/>
        <v>0.24300000000000005</v>
      </c>
      <c r="AC4" s="28">
        <f t="shared" si="1"/>
        <v>0.48768749999999994</v>
      </c>
      <c r="AD4" s="28">
        <f t="shared" si="1"/>
        <v>0.76800000000000013</v>
      </c>
      <c r="AE4" s="28">
        <f t="shared" si="1"/>
        <v>1.323</v>
      </c>
      <c r="AF4" s="28">
        <f t="shared" si="1"/>
        <v>1.7280000000000002</v>
      </c>
      <c r="AG4" s="28">
        <f t="shared" si="1"/>
        <v>1.875</v>
      </c>
      <c r="AH4" s="28">
        <f t="shared" si="1"/>
        <v>1.7279999999999998</v>
      </c>
      <c r="AI4" s="28">
        <f t="shared" si="1"/>
        <v>1.3230000000000004</v>
      </c>
      <c r="AJ4" s="28">
        <f t="shared" si="1"/>
        <v>0.76800000000000246</v>
      </c>
      <c r="AK4" s="28">
        <f t="shared" si="1"/>
        <v>0.242999999999995</v>
      </c>
      <c r="AL4" s="28">
        <f t="shared" si="1"/>
        <v>0</v>
      </c>
      <c r="AM4" s="28">
        <f t="shared" si="1"/>
        <v>0.36299999999998533</v>
      </c>
      <c r="AN4" s="28">
        <f t="shared" si="1"/>
        <v>1.7280000000000015</v>
      </c>
    </row>
    <row r="5" spans="2:41" x14ac:dyDescent="0.2">
      <c r="I5" s="28" t="s">
        <v>112</v>
      </c>
      <c r="J5" s="28" t="s">
        <v>75</v>
      </c>
      <c r="K5" s="28" t="s">
        <v>73</v>
      </c>
      <c r="L5" s="28" t="s">
        <v>72</v>
      </c>
      <c r="M5" s="28" t="s">
        <v>71</v>
      </c>
      <c r="N5" s="28" t="s">
        <v>70</v>
      </c>
      <c r="W5" s="28">
        <f t="shared" ref="W5:AN5" si="2">3/2*W2^2-4*W2^3+5/2*W2^4</f>
        <v>0</v>
      </c>
      <c r="X5" s="28">
        <f t="shared" si="2"/>
        <v>1.4602500000000001E-4</v>
      </c>
      <c r="Y5" s="28">
        <f t="shared" si="2"/>
        <v>1.2440249999999999E-3</v>
      </c>
      <c r="Z5" s="28">
        <f t="shared" si="2"/>
        <v>3.2656250000000007E-3</v>
      </c>
      <c r="AA5" s="28">
        <f t="shared" si="2"/>
        <v>6.0380250000000007E-3</v>
      </c>
      <c r="AB5" s="28">
        <f t="shared" si="2"/>
        <v>1.1250000000000003E-2</v>
      </c>
      <c r="AC5" s="28">
        <f t="shared" si="2"/>
        <v>2.1515625000000003E-2</v>
      </c>
      <c r="AD5" s="28">
        <f t="shared" si="2"/>
        <v>3.2000000000000008E-2</v>
      </c>
      <c r="AE5" s="28">
        <f t="shared" si="2"/>
        <v>4.7250000000000007E-2</v>
      </c>
      <c r="AF5" s="28">
        <f t="shared" si="2"/>
        <v>4.8000000000000015E-2</v>
      </c>
      <c r="AG5" s="28">
        <f t="shared" si="2"/>
        <v>3.125E-2</v>
      </c>
      <c r="AH5" s="28">
        <f t="shared" si="2"/>
        <v>0</v>
      </c>
      <c r="AI5" s="28">
        <f t="shared" si="2"/>
        <v>-3.6749999999999949E-2</v>
      </c>
      <c r="AJ5" s="28">
        <f t="shared" si="2"/>
        <v>-6.3999999999999835E-2</v>
      </c>
      <c r="AK5" s="28">
        <f t="shared" si="2"/>
        <v>-6.074999999999986E-2</v>
      </c>
      <c r="AL5" s="28">
        <f t="shared" si="2"/>
        <v>0</v>
      </c>
      <c r="AM5" s="28">
        <f t="shared" si="2"/>
        <v>0.15124999999999966</v>
      </c>
      <c r="AN5" s="28">
        <f t="shared" si="2"/>
        <v>0.4319999999999995</v>
      </c>
    </row>
    <row r="6" spans="2:41" x14ac:dyDescent="0.2">
      <c r="I6" s="28" t="s">
        <v>107</v>
      </c>
      <c r="J6" s="28" t="s">
        <v>106</v>
      </c>
      <c r="W6" s="28">
        <f t="shared" ref="W6:AN6" si="3">W2-9/2*W2^2+6*W2^3-5/2*W2^4</f>
        <v>0</v>
      </c>
      <c r="X6" s="28">
        <f t="shared" si="3"/>
        <v>9.5559749999999995E-3</v>
      </c>
      <c r="Y6" s="28">
        <f t="shared" si="3"/>
        <v>2.6109975000000001E-2</v>
      </c>
      <c r="Z6" s="28">
        <f t="shared" si="3"/>
        <v>3.9484375000000002E-2</v>
      </c>
      <c r="AA6" s="28">
        <f t="shared" si="3"/>
        <v>4.9947975000000013E-2</v>
      </c>
      <c r="AB6" s="28">
        <f t="shared" si="3"/>
        <v>6.0749999999999998E-2</v>
      </c>
      <c r="AC6" s="28">
        <f t="shared" si="3"/>
        <v>6.7734374999999999E-2</v>
      </c>
      <c r="AD6" s="28">
        <f t="shared" si="3"/>
        <v>6.3999999999999974E-2</v>
      </c>
      <c r="AE6" s="28">
        <f t="shared" si="3"/>
        <v>3.6750000000000026E-2</v>
      </c>
      <c r="AF6" s="28">
        <f t="shared" si="3"/>
        <v>0</v>
      </c>
      <c r="AG6" s="28">
        <f t="shared" si="3"/>
        <v>-3.125E-2</v>
      </c>
      <c r="AH6" s="28">
        <f t="shared" si="3"/>
        <v>-4.7999999999999932E-2</v>
      </c>
      <c r="AI6" s="28">
        <f t="shared" si="3"/>
        <v>-4.7250000000000125E-2</v>
      </c>
      <c r="AJ6" s="28">
        <f t="shared" si="3"/>
        <v>-3.2000000000000473E-2</v>
      </c>
      <c r="AK6" s="28">
        <f t="shared" si="3"/>
        <v>-1.1250000000000426E-2</v>
      </c>
      <c r="AL6" s="28">
        <f t="shared" si="3"/>
        <v>0</v>
      </c>
      <c r="AM6" s="28">
        <f t="shared" si="3"/>
        <v>-1.9249999999999101E-2</v>
      </c>
      <c r="AN6" s="28">
        <f t="shared" si="3"/>
        <v>-9.5999999999998309E-2</v>
      </c>
    </row>
    <row r="7" spans="2:41" x14ac:dyDescent="0.2">
      <c r="D7" s="28">
        <v>1</v>
      </c>
      <c r="H7" s="28">
        <f>J7/2+(1-J7)*(1+L7)^2*(1-L7/(2*(1+L7)^2)-L7*LN((1+L7)/L7))</f>
        <v>0.85045013340919029</v>
      </c>
      <c r="I7" s="28">
        <f>I3</f>
        <v>0.80100000000000005</v>
      </c>
      <c r="J7" s="28">
        <f>J3</f>
        <v>0</v>
      </c>
      <c r="K7" s="28">
        <f>(1-J7)*(1+L7)^2*L7</f>
        <v>0.17391037500000001</v>
      </c>
      <c r="L7" s="37">
        <v>0.13500000000000001</v>
      </c>
      <c r="M7" s="28">
        <f>(1-J7)*(1+L7)^2</f>
        <v>1.288225</v>
      </c>
      <c r="N7" s="28">
        <f>J7-L7*(1-J7)</f>
        <v>-0.13500000000000001</v>
      </c>
    </row>
    <row r="9" spans="2:41" x14ac:dyDescent="0.2">
      <c r="C9" s="28">
        <v>0</v>
      </c>
      <c r="D9" s="28">
        <v>0.01</v>
      </c>
      <c r="E9" s="28">
        <v>0.03</v>
      </c>
      <c r="F9" s="28">
        <v>0.05</v>
      </c>
      <c r="G9" s="28">
        <v>7.0000000000000007E-2</v>
      </c>
      <c r="H9" s="28">
        <v>0.1</v>
      </c>
      <c r="I9" s="28">
        <v>0.15</v>
      </c>
      <c r="J9" s="28">
        <v>0.2</v>
      </c>
      <c r="K9" s="28">
        <v>0.3</v>
      </c>
      <c r="L9" s="28">
        <v>0.4</v>
      </c>
      <c r="M9" s="28">
        <v>0.5</v>
      </c>
      <c r="N9" s="28">
        <v>0.6</v>
      </c>
      <c r="O9" s="28">
        <v>0.7</v>
      </c>
      <c r="P9" s="28">
        <v>0.8</v>
      </c>
      <c r="Q9" s="28">
        <v>0.9</v>
      </c>
      <c r="R9" s="28">
        <v>1</v>
      </c>
      <c r="S9" s="28">
        <v>1.1000000000000001</v>
      </c>
      <c r="T9" s="28">
        <v>1.2</v>
      </c>
    </row>
    <row r="10" spans="2:41" x14ac:dyDescent="0.2">
      <c r="C10" s="29">
        <f t="shared" ref="C10:T10" si="4">W$3+W$4*$I3+W$5*$J3+W$6*$K3</f>
        <v>0</v>
      </c>
      <c r="D10" s="29">
        <f t="shared" si="4"/>
        <v>5.5377657586221332E-2</v>
      </c>
      <c r="E10" s="29">
        <f t="shared" si="4"/>
        <v>0.15836972082817288</v>
      </c>
      <c r="F10" s="29">
        <f t="shared" si="4"/>
        <v>0.25155095559646801</v>
      </c>
      <c r="G10" s="29">
        <f t="shared" si="4"/>
        <v>0.33555227284421996</v>
      </c>
      <c r="H10" s="29">
        <f t="shared" si="4"/>
        <v>0.44567337054177586</v>
      </c>
      <c r="I10" s="29">
        <f t="shared" si="4"/>
        <v>0.59168466700066824</v>
      </c>
      <c r="J10" s="29">
        <f t="shared" si="4"/>
        <v>0.6981300364555334</v>
      </c>
      <c r="K10" s="29">
        <f t="shared" si="4"/>
        <v>0.82264260687095092</v>
      </c>
      <c r="L10" s="29">
        <f t="shared" si="4"/>
        <v>0.87212800000000024</v>
      </c>
      <c r="M10" s="29">
        <f t="shared" si="4"/>
        <v>0.8871474431369466</v>
      </c>
      <c r="N10" s="29">
        <f t="shared" si="4"/>
        <v>0.89590647265834988</v>
      </c>
      <c r="O10" s="29">
        <f t="shared" si="4"/>
        <v>0.91425493402306257</v>
      </c>
      <c r="P10" s="29">
        <f t="shared" si="4"/>
        <v>0.94568698177223209</v>
      </c>
      <c r="Q10" s="29">
        <f t="shared" si="4"/>
        <v>0.98134107952929472</v>
      </c>
      <c r="R10" s="29">
        <f t="shared" si="4"/>
        <v>1</v>
      </c>
      <c r="S10" s="29">
        <f t="shared" si="4"/>
        <v>0.96809082497235988</v>
      </c>
      <c r="T10" s="29">
        <f t="shared" si="4"/>
        <v>0.8396849453167109</v>
      </c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</row>
    <row r="11" spans="2:41" x14ac:dyDescent="0.2"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</row>
    <row r="12" spans="2:41" x14ac:dyDescent="0.2"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</row>
    <row r="13" spans="2:41" x14ac:dyDescent="0.2">
      <c r="C13" s="29">
        <v>0</v>
      </c>
      <c r="D13" s="29">
        <v>0.01</v>
      </c>
      <c r="E13" s="29">
        <v>0.03</v>
      </c>
      <c r="F13" s="29">
        <v>0.05</v>
      </c>
      <c r="G13" s="29">
        <v>7.0000000000000007E-2</v>
      </c>
      <c r="H13" s="29">
        <v>0.1</v>
      </c>
      <c r="I13" s="29">
        <v>0.15</v>
      </c>
      <c r="J13" s="29">
        <v>0.2</v>
      </c>
      <c r="K13" s="29">
        <v>0.3</v>
      </c>
      <c r="L13" s="29">
        <v>0.4</v>
      </c>
      <c r="M13" s="29">
        <v>0.5</v>
      </c>
      <c r="N13" s="29">
        <v>0.6</v>
      </c>
      <c r="O13" s="29">
        <v>0.7</v>
      </c>
      <c r="P13" s="29">
        <v>0.8</v>
      </c>
      <c r="Q13" s="29">
        <v>0.9</v>
      </c>
      <c r="R13" s="29">
        <v>1</v>
      </c>
      <c r="S13" s="29">
        <v>1.1000000000000001</v>
      </c>
      <c r="T13" s="29">
        <v>1.2</v>
      </c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</row>
    <row r="14" spans="2:41" x14ac:dyDescent="0.2">
      <c r="C14" s="29">
        <f t="shared" ref="C14:T14" si="5">$N7*C$13+$M7-$K7/(C$13+$L7)</f>
        <v>0</v>
      </c>
      <c r="D14" s="29">
        <f t="shared" si="5"/>
        <v>8.7493103448275988E-2</v>
      </c>
      <c r="E14" s="29">
        <f t="shared" si="5"/>
        <v>0.2301727272727272</v>
      </c>
      <c r="F14" s="29">
        <f t="shared" si="5"/>
        <v>0.34141891891891885</v>
      </c>
      <c r="G14" s="29">
        <f t="shared" si="5"/>
        <v>0.43043170731707325</v>
      </c>
      <c r="H14" s="29">
        <f t="shared" si="5"/>
        <v>0.53468085106382968</v>
      </c>
      <c r="I14" s="29">
        <f t="shared" si="5"/>
        <v>0.65776315789473672</v>
      </c>
      <c r="J14" s="29">
        <f t="shared" si="5"/>
        <v>0.74208955223880602</v>
      </c>
      <c r="K14" s="29">
        <f t="shared" si="5"/>
        <v>0.84793103448275864</v>
      </c>
      <c r="L14" s="29">
        <f t="shared" si="5"/>
        <v>0.90915887850467281</v>
      </c>
      <c r="M14" s="29">
        <f t="shared" si="5"/>
        <v>0.94685039370078727</v>
      </c>
      <c r="N14" s="29">
        <f t="shared" si="5"/>
        <v>0.97061224489795916</v>
      </c>
      <c r="O14" s="29">
        <f t="shared" si="5"/>
        <v>0.9854491017964071</v>
      </c>
      <c r="P14" s="29">
        <f t="shared" si="5"/>
        <v>0.99422459893048121</v>
      </c>
      <c r="Q14" s="29">
        <f t="shared" si="5"/>
        <v>0.9986956521739131</v>
      </c>
      <c r="R14" s="29">
        <f t="shared" si="5"/>
        <v>1</v>
      </c>
      <c r="S14" s="29">
        <f t="shared" si="5"/>
        <v>0.99890688259109295</v>
      </c>
      <c r="T14" s="29">
        <f t="shared" si="5"/>
        <v>0.99595505617977531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</row>
    <row r="15" spans="2:41" x14ac:dyDescent="0.2"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</row>
    <row r="16" spans="2:41" s="38" customFormat="1" x14ac:dyDescent="0.2"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</row>
    <row r="17" spans="1:51" x14ac:dyDescent="0.2">
      <c r="C17" s="29">
        <f t="shared" ref="C17:T17" si="6">C9</f>
        <v>0</v>
      </c>
      <c r="D17" s="29">
        <f t="shared" si="6"/>
        <v>0.01</v>
      </c>
      <c r="E17" s="29">
        <f t="shared" si="6"/>
        <v>0.03</v>
      </c>
      <c r="F17" s="29">
        <f t="shared" si="6"/>
        <v>0.05</v>
      </c>
      <c r="G17" s="29">
        <f t="shared" si="6"/>
        <v>7.0000000000000007E-2</v>
      </c>
      <c r="H17" s="29">
        <f t="shared" si="6"/>
        <v>0.1</v>
      </c>
      <c r="I17" s="29">
        <f t="shared" si="6"/>
        <v>0.15</v>
      </c>
      <c r="J17" s="29">
        <f t="shared" si="6"/>
        <v>0.2</v>
      </c>
      <c r="K17" s="29">
        <f t="shared" si="6"/>
        <v>0.3</v>
      </c>
      <c r="L17" s="29">
        <f t="shared" si="6"/>
        <v>0.4</v>
      </c>
      <c r="M17" s="29">
        <f t="shared" si="6"/>
        <v>0.5</v>
      </c>
      <c r="N17" s="29">
        <f t="shared" si="6"/>
        <v>0.6</v>
      </c>
      <c r="O17" s="29">
        <f t="shared" si="6"/>
        <v>0.7</v>
      </c>
      <c r="P17" s="29">
        <f t="shared" si="6"/>
        <v>0.8</v>
      </c>
      <c r="Q17" s="29">
        <f t="shared" si="6"/>
        <v>0.9</v>
      </c>
      <c r="R17" s="29">
        <f t="shared" si="6"/>
        <v>1</v>
      </c>
      <c r="S17" s="29">
        <f t="shared" si="6"/>
        <v>1.1000000000000001</v>
      </c>
      <c r="T17" s="29">
        <f t="shared" si="6"/>
        <v>1.2</v>
      </c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</row>
    <row r="18" spans="1:51" x14ac:dyDescent="0.2">
      <c r="C18" s="29">
        <f>IF(Inputs!$B$13&lt;0.72,'BHD Calcs'!C10,'BHD Calcs'!C14)</f>
        <v>0</v>
      </c>
      <c r="D18" s="29">
        <f>IF(Inputs!$B$13&lt;0.72,'BHD Calcs'!D10,'BHD Calcs'!D14)</f>
        <v>8.7493103448275988E-2</v>
      </c>
      <c r="E18" s="29">
        <f>IF(Inputs!$B$13&lt;0.72,'BHD Calcs'!E10,'BHD Calcs'!E14)</f>
        <v>0.2301727272727272</v>
      </c>
      <c r="F18" s="29">
        <f>IF(Inputs!$B$13&lt;0.72,'BHD Calcs'!F10,'BHD Calcs'!F14)</f>
        <v>0.34141891891891885</v>
      </c>
      <c r="G18" s="29">
        <f>IF(Inputs!$B$13&lt;0.72,'BHD Calcs'!G10,'BHD Calcs'!G14)</f>
        <v>0.43043170731707325</v>
      </c>
      <c r="H18" s="29">
        <f>IF(Inputs!$B$13&lt;0.72,'BHD Calcs'!H10,'BHD Calcs'!H14)</f>
        <v>0.53468085106382968</v>
      </c>
      <c r="I18" s="29">
        <f>IF(Inputs!$B$13&lt;0.72,'BHD Calcs'!I10,'BHD Calcs'!I14)</f>
        <v>0.65776315789473672</v>
      </c>
      <c r="J18" s="29">
        <f>IF(Inputs!$B$13&lt;0.72,'BHD Calcs'!J10,'BHD Calcs'!J14)</f>
        <v>0.74208955223880602</v>
      </c>
      <c r="K18" s="29">
        <f>IF(Inputs!$B$13&lt;0.72,'BHD Calcs'!K10,'BHD Calcs'!K14)</f>
        <v>0.84793103448275864</v>
      </c>
      <c r="L18" s="29">
        <f>IF(Inputs!$B$13&lt;0.72,'BHD Calcs'!L10,'BHD Calcs'!L14)</f>
        <v>0.90915887850467281</v>
      </c>
      <c r="M18" s="29">
        <f>IF(Inputs!$B$13&lt;0.72,'BHD Calcs'!M10,'BHD Calcs'!M14)</f>
        <v>0.94685039370078727</v>
      </c>
      <c r="N18" s="29">
        <f>IF(Inputs!$B$13&lt;0.72,'BHD Calcs'!N10,'BHD Calcs'!N14)</f>
        <v>0.97061224489795916</v>
      </c>
      <c r="O18" s="29">
        <f>IF(Inputs!$B$13&lt;0.72,'BHD Calcs'!O10,'BHD Calcs'!O14)</f>
        <v>0.9854491017964071</v>
      </c>
      <c r="P18" s="29">
        <f>IF(Inputs!$B$13&lt;0.72,'BHD Calcs'!P10,'BHD Calcs'!P14)</f>
        <v>0.99422459893048121</v>
      </c>
      <c r="Q18" s="29">
        <f>IF(Inputs!$B$13&lt;0.72,'BHD Calcs'!Q10,'BHD Calcs'!Q14)</f>
        <v>0.9986956521739131</v>
      </c>
      <c r="R18" s="29">
        <f>IF(Inputs!$B$13&lt;0.72,'BHD Calcs'!R10,'BHD Calcs'!R14)</f>
        <v>1</v>
      </c>
      <c r="S18" s="29">
        <f>IF(Inputs!$B$13&lt;0.72,'BHD Calcs'!S10,'BHD Calcs'!S14)</f>
        <v>0.99890688259109295</v>
      </c>
      <c r="T18" s="29">
        <f>IF(Inputs!$B$13&lt;0.72,'BHD Calcs'!T10,'BHD Calcs'!T14)</f>
        <v>0.99595505617977531</v>
      </c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</row>
    <row r="19" spans="1:51" x14ac:dyDescent="0.2">
      <c r="C19" s="29">
        <f t="shared" ref="C19:T19" si="7">-C18</f>
        <v>0</v>
      </c>
      <c r="D19" s="29">
        <f t="shared" si="7"/>
        <v>-8.7493103448275988E-2</v>
      </c>
      <c r="E19" s="29">
        <f t="shared" si="7"/>
        <v>-0.2301727272727272</v>
      </c>
      <c r="F19" s="29">
        <f t="shared" si="7"/>
        <v>-0.34141891891891885</v>
      </c>
      <c r="G19" s="29">
        <f t="shared" si="7"/>
        <v>-0.43043170731707325</v>
      </c>
      <c r="H19" s="29">
        <f t="shared" si="7"/>
        <v>-0.53468085106382968</v>
      </c>
      <c r="I19" s="29">
        <f t="shared" si="7"/>
        <v>-0.65776315789473672</v>
      </c>
      <c r="J19" s="29">
        <f t="shared" si="7"/>
        <v>-0.74208955223880602</v>
      </c>
      <c r="K19" s="29">
        <f t="shared" si="7"/>
        <v>-0.84793103448275864</v>
      </c>
      <c r="L19" s="29">
        <f t="shared" si="7"/>
        <v>-0.90915887850467281</v>
      </c>
      <c r="M19" s="29">
        <f t="shared" si="7"/>
        <v>-0.94685039370078727</v>
      </c>
      <c r="N19" s="29">
        <f t="shared" si="7"/>
        <v>-0.97061224489795916</v>
      </c>
      <c r="O19" s="29">
        <f t="shared" si="7"/>
        <v>-0.9854491017964071</v>
      </c>
      <c r="P19" s="29">
        <f t="shared" si="7"/>
        <v>-0.99422459893048121</v>
      </c>
      <c r="Q19" s="29">
        <f t="shared" si="7"/>
        <v>-0.9986956521739131</v>
      </c>
      <c r="R19" s="29">
        <f t="shared" si="7"/>
        <v>-1</v>
      </c>
      <c r="S19" s="29">
        <f t="shared" si="7"/>
        <v>-0.99890688259109295</v>
      </c>
      <c r="T19" s="29">
        <f t="shared" si="7"/>
        <v>-0.99595505617977531</v>
      </c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</row>
    <row r="20" spans="1:51" x14ac:dyDescent="0.2"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</row>
    <row r="21" spans="1:51" x14ac:dyDescent="0.2">
      <c r="C21" s="29">
        <f>C17*Inputs!$B$6</f>
        <v>0</v>
      </c>
      <c r="D21" s="29">
        <f>D17*Inputs!$B$6</f>
        <v>4.8514589937413644E-2</v>
      </c>
      <c r="E21" s="29">
        <f>E17*Inputs!$B$6</f>
        <v>0.1455437698122409</v>
      </c>
      <c r="F21" s="29">
        <f>F17*Inputs!$B$6</f>
        <v>0.24257294968706822</v>
      </c>
      <c r="G21" s="29">
        <f>G17*Inputs!$B$6</f>
        <v>0.3396021295618955</v>
      </c>
      <c r="H21" s="29">
        <f>H17*Inputs!$B$6</f>
        <v>0.48514589937413644</v>
      </c>
      <c r="I21" s="29">
        <f>I17*Inputs!$B$6</f>
        <v>0.72771884906120454</v>
      </c>
      <c r="J21" s="29">
        <f>J17*Inputs!$B$6</f>
        <v>0.97029179874827287</v>
      </c>
      <c r="K21" s="29">
        <f>K17*Inputs!$B$6</f>
        <v>1.4554376981224091</v>
      </c>
      <c r="L21" s="29">
        <f>L17*Inputs!$B$6</f>
        <v>1.9405835974965457</v>
      </c>
      <c r="M21" s="29">
        <f>M17*Inputs!$B$6</f>
        <v>2.425729496870682</v>
      </c>
      <c r="N21" s="29">
        <f>N17*Inputs!$B$6</f>
        <v>2.9108753962448182</v>
      </c>
      <c r="O21" s="29">
        <f>O17*Inputs!$B$6</f>
        <v>3.3960212956189544</v>
      </c>
      <c r="P21" s="29">
        <f>P17*Inputs!$B$6</f>
        <v>3.8811671949930915</v>
      </c>
      <c r="Q21" s="29">
        <f>Q17*Inputs!$B$6</f>
        <v>4.3663130943672277</v>
      </c>
      <c r="R21" s="29">
        <f>R17*Inputs!$B$6</f>
        <v>4.8514589937413639</v>
      </c>
      <c r="S21" s="29">
        <f t="shared" ref="S21:X21" si="8">R21+1</f>
        <v>5.8514589937413639</v>
      </c>
      <c r="T21" s="29">
        <f t="shared" si="8"/>
        <v>6.8514589937413639</v>
      </c>
      <c r="U21" s="29">
        <f t="shared" si="8"/>
        <v>7.8514589937413639</v>
      </c>
      <c r="V21" s="29">
        <f t="shared" si="8"/>
        <v>8.8514589937413639</v>
      </c>
      <c r="W21" s="29">
        <f t="shared" si="8"/>
        <v>9.8514589937413639</v>
      </c>
      <c r="X21" s="29">
        <f t="shared" si="8"/>
        <v>10.851458993741364</v>
      </c>
      <c r="Y21" s="29">
        <v>13.86</v>
      </c>
      <c r="Z21" s="29">
        <f>Y21</f>
        <v>13.86</v>
      </c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</row>
    <row r="22" spans="1:51" x14ac:dyDescent="0.2">
      <c r="C22" s="29">
        <f>C18*Inputs!$B$4/2</f>
        <v>0</v>
      </c>
      <c r="D22" s="29">
        <f>D18*Inputs!$B$4/2</f>
        <v>0.62114734246203007</v>
      </c>
      <c r="E22" s="29">
        <f>E18*Inputs!$B$4/2</f>
        <v>1.6340851132022487</v>
      </c>
      <c r="F22" s="29">
        <f>F18*Inputs!$B$4/2</f>
        <v>2.423864805277113</v>
      </c>
      <c r="G22" s="29">
        <f>G18*Inputs!$B$4/2</f>
        <v>3.0558009782959945</v>
      </c>
      <c r="H22" s="29">
        <f>H18*Inputs!$B$4/2</f>
        <v>3.7959059241734843</v>
      </c>
      <c r="I22" s="29">
        <f>I18*Inputs!$B$4/2</f>
        <v>4.669714770573715</v>
      </c>
      <c r="J22" s="29">
        <f>J18*Inputs!$B$4/2</f>
        <v>5.268380421714884</v>
      </c>
      <c r="K22" s="29">
        <f>K18*Inputs!$B$4/2</f>
        <v>6.0197899937497725</v>
      </c>
      <c r="L22" s="29">
        <f>L18*Inputs!$B$4/2</f>
        <v>6.4544701125247919</v>
      </c>
      <c r="M22" s="29">
        <f>M18*Inputs!$B$4/2</f>
        <v>6.7220567402099602</v>
      </c>
      <c r="N22" s="29">
        <f>N18*Inputs!$B$4/2</f>
        <v>6.8907513017399111</v>
      </c>
      <c r="O22" s="29">
        <f>O18*Inputs!$B$4/2</f>
        <v>6.9960838807632229</v>
      </c>
      <c r="P22" s="29">
        <f>P18*Inputs!$B$4/2</f>
        <v>7.0583845251429915</v>
      </c>
      <c r="Q22" s="29">
        <f>Q18*Inputs!$B$4/2</f>
        <v>7.0901262594135757</v>
      </c>
      <c r="R22" s="29">
        <f>R18*Inputs!$B$4/2</f>
        <v>7.0993863285377552</v>
      </c>
      <c r="S22" s="29">
        <f t="shared" ref="S22:Y23" si="9">R22</f>
        <v>7.0993863285377552</v>
      </c>
      <c r="T22" s="29">
        <f t="shared" si="9"/>
        <v>7.0993863285377552</v>
      </c>
      <c r="U22" s="29">
        <f t="shared" si="9"/>
        <v>7.0993863285377552</v>
      </c>
      <c r="V22" s="29">
        <f t="shared" si="9"/>
        <v>7.0993863285377552</v>
      </c>
      <c r="W22" s="29">
        <f t="shared" si="9"/>
        <v>7.0993863285377552</v>
      </c>
      <c r="X22" s="29">
        <f t="shared" si="9"/>
        <v>7.0993863285377552</v>
      </c>
      <c r="Y22" s="29">
        <f t="shared" si="9"/>
        <v>7.0993863285377552</v>
      </c>
      <c r="Z22" s="29">
        <v>0</v>
      </c>
      <c r="AA22" s="29">
        <v>6.86</v>
      </c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</row>
    <row r="23" spans="1:51" x14ac:dyDescent="0.2">
      <c r="C23" s="29">
        <f t="shared" ref="C23:R23" si="10">-C22</f>
        <v>0</v>
      </c>
      <c r="D23" s="29">
        <f t="shared" si="10"/>
        <v>-0.62114734246203007</v>
      </c>
      <c r="E23" s="29">
        <f t="shared" si="10"/>
        <v>-1.6340851132022487</v>
      </c>
      <c r="F23" s="29">
        <f t="shared" si="10"/>
        <v>-2.423864805277113</v>
      </c>
      <c r="G23" s="29">
        <f t="shared" si="10"/>
        <v>-3.0558009782959945</v>
      </c>
      <c r="H23" s="29">
        <f t="shared" si="10"/>
        <v>-3.7959059241734843</v>
      </c>
      <c r="I23" s="29">
        <f t="shared" si="10"/>
        <v>-4.669714770573715</v>
      </c>
      <c r="J23" s="29">
        <f t="shared" si="10"/>
        <v>-5.268380421714884</v>
      </c>
      <c r="K23" s="29">
        <f t="shared" si="10"/>
        <v>-6.0197899937497725</v>
      </c>
      <c r="L23" s="29">
        <f t="shared" si="10"/>
        <v>-6.4544701125247919</v>
      </c>
      <c r="M23" s="29">
        <f t="shared" si="10"/>
        <v>-6.7220567402099602</v>
      </c>
      <c r="N23" s="29">
        <f t="shared" si="10"/>
        <v>-6.8907513017399111</v>
      </c>
      <c r="O23" s="29">
        <f t="shared" si="10"/>
        <v>-6.9960838807632229</v>
      </c>
      <c r="P23" s="29">
        <f t="shared" si="10"/>
        <v>-7.0583845251429915</v>
      </c>
      <c r="Q23" s="29">
        <f t="shared" si="10"/>
        <v>-7.0901262594135757</v>
      </c>
      <c r="R23" s="29">
        <f t="shared" si="10"/>
        <v>-7.0993863285377552</v>
      </c>
      <c r="S23" s="29">
        <f t="shared" si="9"/>
        <v>-7.0993863285377552</v>
      </c>
      <c r="T23" s="29">
        <f t="shared" si="9"/>
        <v>-7.0993863285377552</v>
      </c>
      <c r="U23" s="29">
        <f t="shared" si="9"/>
        <v>-7.0993863285377552</v>
      </c>
      <c r="V23" s="29">
        <f t="shared" si="9"/>
        <v>-7.0993863285377552</v>
      </c>
      <c r="W23" s="29">
        <f t="shared" si="9"/>
        <v>-7.0993863285377552</v>
      </c>
      <c r="X23" s="29">
        <f t="shared" si="9"/>
        <v>-7.0993863285377552</v>
      </c>
      <c r="Y23" s="29">
        <f t="shared" si="9"/>
        <v>-7.0993863285377552</v>
      </c>
      <c r="Z23" s="29">
        <v>0</v>
      </c>
      <c r="AA23" s="29">
        <v>6.86</v>
      </c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</row>
    <row r="24" spans="1:51" x14ac:dyDescent="0.2"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</row>
    <row r="25" spans="1:51" x14ac:dyDescent="0.2">
      <c r="B25" s="34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Q25" s="55" t="s">
        <v>152</v>
      </c>
      <c r="AR25" s="59" t="s">
        <v>150</v>
      </c>
      <c r="AS25" s="59" t="s">
        <v>151</v>
      </c>
      <c r="AT25" s="98" t="s">
        <v>111</v>
      </c>
      <c r="AU25" s="98"/>
      <c r="AV25" s="59" t="s">
        <v>145</v>
      </c>
      <c r="AW25" s="59" t="s">
        <v>34</v>
      </c>
      <c r="AX25" s="59" t="s">
        <v>26</v>
      </c>
      <c r="AY25" s="59" t="s">
        <v>20</v>
      </c>
    </row>
    <row r="26" spans="1:51" x14ac:dyDescent="0.2">
      <c r="B26" s="34"/>
      <c r="C26" s="29">
        <v>0</v>
      </c>
      <c r="D26" s="29">
        <v>0.01</v>
      </c>
      <c r="E26" s="29">
        <v>0.03</v>
      </c>
      <c r="F26" s="29">
        <v>0.05</v>
      </c>
      <c r="G26" s="29">
        <v>7.0000000000000007E-2</v>
      </c>
      <c r="H26" s="29">
        <v>0.1</v>
      </c>
      <c r="I26" s="29">
        <v>0.15</v>
      </c>
      <c r="J26" s="29">
        <v>0.2</v>
      </c>
      <c r="K26" s="29">
        <v>0.3</v>
      </c>
      <c r="L26" s="29">
        <v>0.4</v>
      </c>
      <c r="M26" s="29">
        <v>0.5</v>
      </c>
      <c r="N26" s="29">
        <v>0.6</v>
      </c>
      <c r="O26" s="29">
        <v>0.7</v>
      </c>
      <c r="P26" s="29">
        <v>0.8</v>
      </c>
      <c r="Q26" s="29">
        <v>0.9</v>
      </c>
      <c r="R26" s="29">
        <v>1</v>
      </c>
      <c r="S26" s="29">
        <v>1.1000000000000001</v>
      </c>
      <c r="T26" s="29">
        <v>1.2</v>
      </c>
      <c r="U26" s="29"/>
      <c r="V26" s="29">
        <f>C$26*Bulkheads!$U31+($C$1-Bulkheads!$U31)</f>
        <v>3.6202599568581668</v>
      </c>
      <c r="W26" s="29">
        <f>D$26*Bulkheads!$U31+($C$1-Bulkheads!$U31)</f>
        <v>3.6325719472269986</v>
      </c>
      <c r="X26" s="29">
        <f>E$26*Bulkheads!$U31+($C$1-Bulkheads!$U31)</f>
        <v>3.6571959279646626</v>
      </c>
      <c r="Y26" s="29">
        <f>F$26*Bulkheads!$U31+($C$1-Bulkheads!$U31)</f>
        <v>3.6818199087023267</v>
      </c>
      <c r="Z26" s="29">
        <f>G$26*Bulkheads!$U31+($C$1-Bulkheads!$U31)</f>
        <v>3.7064438894399907</v>
      </c>
      <c r="AA26" s="29">
        <f>H$26*Bulkheads!$U31+($C$1-Bulkheads!$U31)</f>
        <v>3.7433798605464865</v>
      </c>
      <c r="AB26" s="29">
        <f>I$26*Bulkheads!$U31+($C$1-Bulkheads!$U31)</f>
        <v>3.8049398123906464</v>
      </c>
      <c r="AC26" s="29">
        <f>J$26*Bulkheads!$U31+($C$1-Bulkheads!$U31)</f>
        <v>3.8664997642348062</v>
      </c>
      <c r="AD26" s="29">
        <f>K$26*Bulkheads!$U31+($C$1-Bulkheads!$U31)</f>
        <v>3.9896196679231259</v>
      </c>
      <c r="AE26" s="29">
        <f>L$26*Bulkheads!$U31+($C$1-Bulkheads!$U31)</f>
        <v>4.1127395716114457</v>
      </c>
      <c r="AF26" s="29">
        <f>M$26*Bulkheads!$U31+($C$1-Bulkheads!$U31)</f>
        <v>4.2358594752997654</v>
      </c>
      <c r="AG26" s="29">
        <f>N$26*Bulkheads!$U31+($C$1-Bulkheads!$U31)</f>
        <v>4.3589793789880851</v>
      </c>
      <c r="AH26" s="29">
        <f>O$26*Bulkheads!$U31+($C$1-Bulkheads!$U31)</f>
        <v>4.4820992826764048</v>
      </c>
      <c r="AI26" s="29">
        <f>P$26*Bulkheads!$U31+($C$1-Bulkheads!$U31)</f>
        <v>4.6052191863647245</v>
      </c>
      <c r="AJ26" s="29">
        <f>Q$26*Bulkheads!$U31+($C$1-Bulkheads!$U31)</f>
        <v>4.7283390900530442</v>
      </c>
      <c r="AK26" s="29">
        <f>R$26*Bulkheads!$U31+($C$1-Bulkheads!$U31)</f>
        <v>4.8514589937413639</v>
      </c>
      <c r="AL26" s="29">
        <f>(AM26+AK26)/2</f>
        <v>5.9958398532100201</v>
      </c>
      <c r="AM26" s="29">
        <f>(AO26+AK26)/2</f>
        <v>7.1402207126786763</v>
      </c>
      <c r="AN26" s="29">
        <f>(AO26+AM26)/2</f>
        <v>8.2846015721473325</v>
      </c>
      <c r="AO26" s="29">
        <f>(_xll.Spline('Profile Calcs'!$G$45:$G$65,'Profile Calcs'!$H$45:$H$65,Bulkheads!C31,TRUE))</f>
        <v>9.4289824316159887</v>
      </c>
      <c r="AR26" s="29">
        <f>-(-4*AM29+3*AK29+AO29)*(AO26-AK26)*Bulkheads!U31/Bulkheads!T31</f>
        <v>-0.55166157100507485</v>
      </c>
      <c r="AS26" s="29">
        <f>-(-4*AM29+3*AK29+AO29)/(AO26-AK26)</f>
        <v>-0.10610183729863309</v>
      </c>
      <c r="AT26" s="29">
        <f>DEGREES(ATAN((AM29-AK29)/(AM26-AK26)))</f>
        <v>-4.8468796308399291</v>
      </c>
      <c r="AU26" s="28">
        <f>((AX30-AX29)/AX30)/(AY30/Bulkheads!$U$31)</f>
        <v>-2.6327618642581912E-2</v>
      </c>
      <c r="AV26" s="29">
        <f>AL26/COS(AT26*PI()/180)</f>
        <v>6.0173575618248165</v>
      </c>
      <c r="AW26" s="28">
        <f>AV26*SIN(AT26*PI()/180)</f>
        <v>-0.50842549258346981</v>
      </c>
      <c r="AX26" s="29">
        <f>AL29-AW26</f>
        <v>5.3609992250458074</v>
      </c>
      <c r="AY26" s="28">
        <v>0</v>
      </c>
    </row>
    <row r="27" spans="1:51" x14ac:dyDescent="0.2">
      <c r="A27" s="28">
        <v>20</v>
      </c>
      <c r="B27" s="28" t="s">
        <v>104</v>
      </c>
      <c r="C27" s="29">
        <f>W$3+W$4*Bulkheads!$I31+W$5*Bulkheads!$J31+W$6*Bulkheads!$K31</f>
        <v>0</v>
      </c>
      <c r="D27" s="29">
        <f>X$3+X$4*Bulkheads!$I31+X$5*Bulkheads!$J31+X$6*Bulkheads!$K31</f>
        <v>1.0453779005801732E-2</v>
      </c>
      <c r="E27" s="29">
        <f>Y$3+Y$4*Bulkheads!$I31+Y$5*Bulkheads!$J31+Y$6*Bulkheads!$K31</f>
        <v>3.229523829303254E-2</v>
      </c>
      <c r="F27" s="29">
        <f>Z$3+Z$4*Bulkheads!$I31+Z$5*Bulkheads!$J31+Z$6*Bulkheads!$K31</f>
        <v>5.5286906395105521E-2</v>
      </c>
      <c r="G27" s="29">
        <f>AA$3+AA$4*Bulkheads!$I31+AA$5*Bulkheads!$J31+AA$6*Bulkheads!$K31</f>
        <v>7.9317348727137832E-2</v>
      </c>
      <c r="H27" s="29">
        <f>AB$3+AB$4*Bulkheads!$I31+AB$5*Bulkheads!$J31+AB$6*Bulkheads!$K31</f>
        <v>0.1170741419721763</v>
      </c>
      <c r="I27" s="29">
        <f>AC$3+AC$4*Bulkheads!$I31+AC$5*Bulkheads!$J31+AC$6*Bulkheads!$K31</f>
        <v>0.183700443789613</v>
      </c>
      <c r="J27" s="29">
        <f>AD$3+AD$4*Bulkheads!$I31+AD$5*Bulkheads!$J31+AD$6*Bulkheads!$K31</f>
        <v>0.25361869525895359</v>
      </c>
      <c r="K27" s="29">
        <f>AE$3+AE$4*Bulkheads!$I31+AE$5*Bulkheads!$J31+AE$6*Bulkheads!$K31</f>
        <v>0.39771331256517939</v>
      </c>
      <c r="L27" s="29">
        <f>AF$3+AF$4*Bulkheads!$I31+AF$5*Bulkheads!$J31+AF$6*Bulkheads!$K31</f>
        <v>0.53926398824588961</v>
      </c>
      <c r="M27" s="29">
        <f>AG$3+AG$4*Bulkheads!$I31+AG$5*Bulkheads!$J31+AG$6*Bulkheads!$K31</f>
        <v>0.67000305830630735</v>
      </c>
      <c r="N27" s="29">
        <f>AH$3+AH$4*Bulkheads!$I31+AH$5*Bulkheads!$J31+AH$6*Bulkheads!$K31</f>
        <v>0.78348920040184455</v>
      </c>
      <c r="O27" s="29">
        <f>AI$3+AI$4*Bulkheads!$I31+AI$5*Bulkheads!$J31+AI$6*Bulkheads!$K31</f>
        <v>0.87510743383810097</v>
      </c>
      <c r="P27" s="29">
        <f>AJ$3+AJ$4*Bulkheads!$I31+AJ$5*Bulkheads!$J31+AJ$6*Bulkheads!$K31</f>
        <v>0.94206911957086481</v>
      </c>
      <c r="Q27" s="29">
        <f>AK$3+AK$4*Bulkheads!$I31+AK$5*Bulkheads!$J31+AK$6*Bulkheads!$K31</f>
        <v>0.98341196020610611</v>
      </c>
      <c r="R27" s="29">
        <v>1</v>
      </c>
      <c r="S27" s="29">
        <f>AM$3+AM$4*Bulkheads!$I31+AM$5*Bulkheads!$J31+AM$6*Bulkheads!$K31</f>
        <v>0.99452362485888735</v>
      </c>
      <c r="T27" s="29">
        <f>AN$3+AN$4*Bulkheads!$I31+AN$5*Bulkheads!$J31+AN$6*Bulkheads!$K31</f>
        <v>0.97149956233931523</v>
      </c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R27" s="29"/>
      <c r="AS27" s="29"/>
      <c r="AT27" s="29"/>
      <c r="AX27" s="29">
        <f>AL29</f>
        <v>4.8525737324623375</v>
      </c>
      <c r="AY27" s="29">
        <f>AL26</f>
        <v>5.9958398532100201</v>
      </c>
    </row>
    <row r="28" spans="1:51" x14ac:dyDescent="0.2">
      <c r="B28" s="28" t="s">
        <v>103</v>
      </c>
      <c r="C28" s="29" t="e">
        <f>Bulkheads!$R31*C$13+Bulkheads!$Q31-Bulkheads!$O31/(C$13+Bulkheads!$P31)</f>
        <v>#DIV/0!</v>
      </c>
      <c r="D28" s="29">
        <f>Bulkheads!$R31*D$13+Bulkheads!$Q31-Bulkheads!$O31/(D$13+Bulkheads!$P31)</f>
        <v>0.9509431285756309</v>
      </c>
      <c r="E28" s="29">
        <f>Bulkheads!$R31*E$13+Bulkheads!$Q31-Bulkheads!$O31/(E$13+Bulkheads!$P31)</f>
        <v>0.95193417648319389</v>
      </c>
      <c r="F28" s="29">
        <f>Bulkheads!$R31*F$13+Bulkheads!$Q31-Bulkheads!$O31/(F$13+Bulkheads!$P31)</f>
        <v>0.95292522439075689</v>
      </c>
      <c r="G28" s="29">
        <f>Bulkheads!$R31*G$13+Bulkheads!$Q31-Bulkheads!$O31/(G$13+Bulkheads!$P31)</f>
        <v>0.95391627229831999</v>
      </c>
      <c r="H28" s="29">
        <f>Bulkheads!$R31*H$13+Bulkheads!$Q31-Bulkheads!$O31/(H$13+Bulkheads!$P31)</f>
        <v>0.95540284415966448</v>
      </c>
      <c r="I28" s="29">
        <f>Bulkheads!$R31*I$13+Bulkheads!$Q31-Bulkheads!$O31/(I$13+Bulkheads!$P31)</f>
        <v>0.95788046392857196</v>
      </c>
      <c r="J28" s="29">
        <f>Bulkheads!$R31*J$13+Bulkheads!$Q31-Bulkheads!$O31/(J$13+Bulkheads!$P31)</f>
        <v>0.96035808369747955</v>
      </c>
      <c r="K28" s="29">
        <f>Bulkheads!$R31*K$13+Bulkheads!$Q31-Bulkheads!$O31/(K$13+Bulkheads!$P31)</f>
        <v>0.96531332323529462</v>
      </c>
      <c r="L28" s="29">
        <f>Bulkheads!$R31*L$13+Bulkheads!$Q31-Bulkheads!$O31/(L$13+Bulkheads!$P31)</f>
        <v>0.97026856277310969</v>
      </c>
      <c r="M28" s="29">
        <f>Bulkheads!$R31*M$13+Bulkheads!$Q31-Bulkheads!$O31/(M$13+Bulkheads!$P31)</f>
        <v>0.97522380231092476</v>
      </c>
      <c r="N28" s="29">
        <f>Bulkheads!$R31*N$13+Bulkheads!$Q31-Bulkheads!$O31/(N$13+Bulkheads!$P31)</f>
        <v>0.98017904184873972</v>
      </c>
      <c r="O28" s="29">
        <f>Bulkheads!$R31*O$13+Bulkheads!$Q31-Bulkheads!$O31/(O$13+Bulkheads!$P31)</f>
        <v>0.98513428138655479</v>
      </c>
      <c r="P28" s="29">
        <f>Bulkheads!$R31*P$13+Bulkheads!$Q31-Bulkheads!$O31/(P$13+Bulkheads!$P31)</f>
        <v>0.99008952092436986</v>
      </c>
      <c r="Q28" s="29">
        <f>Bulkheads!$R31*Q$13+Bulkheads!$Q31-Bulkheads!$O31/(Q$13+Bulkheads!$P31)</f>
        <v>0.99504476046218493</v>
      </c>
      <c r="R28" s="29">
        <v>1</v>
      </c>
      <c r="S28" s="29">
        <f>Bulkheads!$R31*S$13+Bulkheads!$Q31-Bulkheads!$O31/(S$13+Bulkheads!$P31)</f>
        <v>1.0049552395378152</v>
      </c>
      <c r="T28" s="29">
        <f>Bulkheads!$R31*T$13+Bulkheads!$Q31-Bulkheads!$O31/(T$13+Bulkheads!$P31)</f>
        <v>1.0099104790756301</v>
      </c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R28" s="29"/>
      <c r="AS28" s="29"/>
      <c r="AT28" s="29"/>
      <c r="AV28" s="38"/>
      <c r="AW28" s="38"/>
      <c r="AX28" s="38"/>
      <c r="AY28" s="38"/>
    </row>
    <row r="29" spans="1:51" x14ac:dyDescent="0.2">
      <c r="C29" s="29">
        <f>IF(Bulkheads!$E31&lt;0.72,C27,C28)</f>
        <v>0</v>
      </c>
      <c r="D29" s="29">
        <f>IF(Bulkheads!$E31&lt;0.72,D27,D28)</f>
        <v>1.0453779005801732E-2</v>
      </c>
      <c r="E29" s="29">
        <f>IF(Bulkheads!$E31&lt;0.72,E27,E28)</f>
        <v>3.229523829303254E-2</v>
      </c>
      <c r="F29" s="29">
        <f>IF(Bulkheads!$E31&lt;0.72,F27,F28)</f>
        <v>5.5286906395105521E-2</v>
      </c>
      <c r="G29" s="29">
        <f>IF(Bulkheads!$E31&lt;0.72,G27,G28)</f>
        <v>7.9317348727137832E-2</v>
      </c>
      <c r="H29" s="29">
        <f>IF(Bulkheads!$E31&lt;0.72,H27,H28)</f>
        <v>0.1170741419721763</v>
      </c>
      <c r="I29" s="29">
        <f>IF(Bulkheads!$E31&lt;0.72,I27,I28)</f>
        <v>0.183700443789613</v>
      </c>
      <c r="J29" s="29">
        <f>IF(Bulkheads!$E31&lt;0.72,J27,J28)</f>
        <v>0.25361869525895359</v>
      </c>
      <c r="K29" s="29">
        <f>IF(Bulkheads!$E31&lt;0.72,K27,K28)</f>
        <v>0.39771331256517939</v>
      </c>
      <c r="L29" s="29">
        <f>IF(Bulkheads!$E31&lt;0.72,L27,L28)</f>
        <v>0.53926398824588961</v>
      </c>
      <c r="M29" s="29">
        <f>IF(Bulkheads!$E31&lt;0.72,M27,M28)</f>
        <v>0.67000305830630735</v>
      </c>
      <c r="N29" s="29">
        <f>IF(Bulkheads!$E31&lt;0.72,N27,N28)</f>
        <v>0.78348920040184455</v>
      </c>
      <c r="O29" s="29">
        <f>IF(Bulkheads!$E31&lt;0.72,O27,O28)</f>
        <v>0.87510743383810097</v>
      </c>
      <c r="P29" s="29">
        <f>IF(Bulkheads!$E31&lt;0.72,P27,P28)</f>
        <v>0.94206911957086481</v>
      </c>
      <c r="Q29" s="29">
        <f>IF(Bulkheads!$E31&lt;0.72,Q27,Q28)</f>
        <v>0.98341196020610611</v>
      </c>
      <c r="R29" s="29">
        <v>1</v>
      </c>
      <c r="S29" s="29">
        <f>IF(Bulkheads!$E31&lt;0.72,S27,S28)</f>
        <v>0.99452362485888735</v>
      </c>
      <c r="T29" s="29">
        <f>IF(Bulkheads!$E31&lt;0.72,T27,T28)</f>
        <v>0.97149956233931523</v>
      </c>
      <c r="U29" s="29"/>
      <c r="V29" s="29">
        <f>C29*Bulkheads!$T31</f>
        <v>0</v>
      </c>
      <c r="W29" s="29">
        <f>D29*Bulkheads!$T31</f>
        <v>5.1869601057612506E-2</v>
      </c>
      <c r="X29" s="29">
        <f>E29*Bulkheads!$T31</f>
        <v>0.1602426381302344</v>
      </c>
      <c r="Y29" s="29">
        <f>F29*Bulkheads!$T31</f>
        <v>0.27432278574400143</v>
      </c>
      <c r="Z29" s="29">
        <f>G29*Bulkheads!$T31</f>
        <v>0.39355712734513093</v>
      </c>
      <c r="AA29" s="29">
        <f>H29*Bulkheads!$T31</f>
        <v>0.58089892993613623</v>
      </c>
      <c r="AB29" s="29">
        <f>I29*Bulkheads!$T31</f>
        <v>0.91148557169473376</v>
      </c>
      <c r="AC29" s="29">
        <f>J29*Bulkheads!$T31</f>
        <v>1.2584062219541075</v>
      </c>
      <c r="AD29" s="29">
        <f>K29*Bulkheads!$T31</f>
        <v>1.9733754507923313</v>
      </c>
      <c r="AE29" s="29">
        <f>L29*Bulkheads!$T31</f>
        <v>2.6757221402449307</v>
      </c>
      <c r="AF29" s="29">
        <f>M29*Bulkheads!$T31</f>
        <v>3.3244237631617271</v>
      </c>
      <c r="AG29" s="29">
        <f>N29*Bulkheads!$T31</f>
        <v>3.8875197414482496</v>
      </c>
      <c r="AH29" s="29">
        <f>O29*Bulkheads!$T31</f>
        <v>4.3421114460657302</v>
      </c>
      <c r="AI29" s="29">
        <f>P29*Bulkheads!$T31</f>
        <v>4.6743621970311038</v>
      </c>
      <c r="AJ29" s="29">
        <f>Q29*Bulkheads!$T31</f>
        <v>4.8794972634169795</v>
      </c>
      <c r="AK29" s="29">
        <f>R29*Bulkheads!$T31</f>
        <v>4.9618038633517552</v>
      </c>
      <c r="AL29" s="29">
        <f>(2*AO29+2*AK29-4*AM29)*0.25^2+(4*AM29-3*AK29-AO29)*0.25+AK29</f>
        <v>4.8525737324623375</v>
      </c>
      <c r="AM29" s="29">
        <f>_xll.Spline('Mid Upr WL Opt1 Calcs'!$O$24:$O$44,'Cxx Selected'!$I$77:$I$97,Bulkheads!C31,TRUE)</f>
        <v>4.7677251633121109</v>
      </c>
      <c r="AN29" s="29">
        <f>(2*AO29+2*AK29-4*AM29)*0.75^2+(4*AM29-3*AK29-AO29)*0.75+AK29</f>
        <v>4.7072581559010755</v>
      </c>
      <c r="AO29" s="29">
        <f>_xll.Spline('CWD Opt1 Calcs'!$J$26:$J$46,'Cxx Selected'!$I$52:$I$72,Bulkheads!C31,TRUE)</f>
        <v>4.6711727102292304</v>
      </c>
      <c r="AR29" s="29"/>
      <c r="AS29" s="29"/>
      <c r="AT29" s="29"/>
      <c r="AV29" s="38"/>
      <c r="AW29" s="38"/>
      <c r="AX29" s="36">
        <f>AK29-AS26*AK26</f>
        <v>5.4765525761666911</v>
      </c>
      <c r="AY29" s="38">
        <v>0</v>
      </c>
    </row>
    <row r="30" spans="1:51" x14ac:dyDescent="0.2"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>
        <f t="shared" ref="V30:AO30" si="11">-V29</f>
        <v>0</v>
      </c>
      <c r="W30" s="29">
        <f t="shared" si="11"/>
        <v>-5.1869601057612506E-2</v>
      </c>
      <c r="X30" s="29">
        <f t="shared" si="11"/>
        <v>-0.1602426381302344</v>
      </c>
      <c r="Y30" s="29">
        <f t="shared" si="11"/>
        <v>-0.27432278574400143</v>
      </c>
      <c r="Z30" s="29">
        <f t="shared" si="11"/>
        <v>-0.39355712734513093</v>
      </c>
      <c r="AA30" s="29">
        <f t="shared" si="11"/>
        <v>-0.58089892993613623</v>
      </c>
      <c r="AB30" s="29">
        <f t="shared" si="11"/>
        <v>-0.91148557169473376</v>
      </c>
      <c r="AC30" s="29">
        <f t="shared" si="11"/>
        <v>-1.2584062219541075</v>
      </c>
      <c r="AD30" s="29">
        <f t="shared" si="11"/>
        <v>-1.9733754507923313</v>
      </c>
      <c r="AE30" s="29">
        <f t="shared" si="11"/>
        <v>-2.6757221402449307</v>
      </c>
      <c r="AF30" s="29">
        <f t="shared" si="11"/>
        <v>-3.3244237631617271</v>
      </c>
      <c r="AG30" s="29">
        <f t="shared" si="11"/>
        <v>-3.8875197414482496</v>
      </c>
      <c r="AH30" s="29">
        <f t="shared" si="11"/>
        <v>-4.3421114460657302</v>
      </c>
      <c r="AI30" s="29">
        <f t="shared" si="11"/>
        <v>-4.6743621970311038</v>
      </c>
      <c r="AJ30" s="29">
        <f t="shared" si="11"/>
        <v>-4.8794972634169795</v>
      </c>
      <c r="AK30" s="29">
        <f t="shared" si="11"/>
        <v>-4.9618038633517552</v>
      </c>
      <c r="AL30" s="29">
        <f>(2*AO30+2*AK30-4*AM30)*0.25^2+(4*AM30-3*AK30-AO30)*0.25+AK30</f>
        <v>-4.8525737324623375</v>
      </c>
      <c r="AM30" s="29">
        <f t="shared" si="11"/>
        <v>-4.7677251633121109</v>
      </c>
      <c r="AN30" s="29">
        <f>(2*AO30+2*AK30-4*AM30)*0.75^2+(4*AM30-3*AK30-AO30)*0.75+AK30</f>
        <v>-4.7072581559010755</v>
      </c>
      <c r="AO30" s="29">
        <f t="shared" si="11"/>
        <v>-4.6711727102292304</v>
      </c>
      <c r="AR30" s="29"/>
      <c r="AS30" s="29"/>
      <c r="AT30" s="29"/>
      <c r="AV30" s="38"/>
      <c r="AW30" s="38"/>
      <c r="AX30" s="36">
        <f>AK29</f>
        <v>4.9618038633517552</v>
      </c>
      <c r="AY30" s="36">
        <f>AK26</f>
        <v>4.8514589937413639</v>
      </c>
    </row>
    <row r="31" spans="1:51" x14ac:dyDescent="0.2"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R31" s="29"/>
      <c r="AS31" s="29"/>
      <c r="AT31" s="29"/>
    </row>
    <row r="32" spans="1:51" x14ac:dyDescent="0.2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>
        <f>C$26*Bulkheads!$U32+($C$1-Bulkheads!$U32)</f>
        <v>2.5220602308173627</v>
      </c>
      <c r="W32" s="29">
        <f>D$26*Bulkheads!$U32+($C$1-Bulkheads!$U32)</f>
        <v>2.5453542184466027</v>
      </c>
      <c r="X32" s="29">
        <f>E$26*Bulkheads!$U32+($C$1-Bulkheads!$U32)</f>
        <v>2.5919421937050826</v>
      </c>
      <c r="Y32" s="29">
        <f>F$26*Bulkheads!$U32+($C$1-Bulkheads!$U32)</f>
        <v>2.638530168963563</v>
      </c>
      <c r="Z32" s="29">
        <f>G$26*Bulkheads!$U32+($C$1-Bulkheads!$U32)</f>
        <v>2.6851181442220429</v>
      </c>
      <c r="AA32" s="29">
        <f>H$26*Bulkheads!$U32+($C$1-Bulkheads!$U32)</f>
        <v>2.7550001071097627</v>
      </c>
      <c r="AB32" s="29">
        <f>I$26*Bulkheads!$U32+($C$1-Bulkheads!$U32)</f>
        <v>2.8714700452559629</v>
      </c>
      <c r="AC32" s="29">
        <f>J$26*Bulkheads!$U32+($C$1-Bulkheads!$U32)</f>
        <v>2.9879399834021632</v>
      </c>
      <c r="AD32" s="29">
        <f>K$26*Bulkheads!$U32+($C$1-Bulkheads!$U32)</f>
        <v>3.2208798596945631</v>
      </c>
      <c r="AE32" s="29">
        <f>L$26*Bulkheads!$U32+($C$1-Bulkheads!$U32)</f>
        <v>3.4538197359869631</v>
      </c>
      <c r="AF32" s="29">
        <f>M$26*Bulkheads!$U32+($C$1-Bulkheads!$U32)</f>
        <v>3.6867596122793636</v>
      </c>
      <c r="AG32" s="29">
        <f>N$26*Bulkheads!$U32+($C$1-Bulkheads!$U32)</f>
        <v>3.9196994885717631</v>
      </c>
      <c r="AH32" s="29">
        <f>O$26*Bulkheads!$U32+($C$1-Bulkheads!$U32)</f>
        <v>4.1526393648641635</v>
      </c>
      <c r="AI32" s="29">
        <f>P$26*Bulkheads!$U32+($C$1-Bulkheads!$U32)</f>
        <v>4.3855792411565639</v>
      </c>
      <c r="AJ32" s="29">
        <f>Q$26*Bulkheads!$U32+($C$1-Bulkheads!$U32)</f>
        <v>4.6185191174489635</v>
      </c>
      <c r="AK32" s="29">
        <f>R$26*Bulkheads!$U32+($C$1-Bulkheads!$U32)</f>
        <v>4.8514589937413639</v>
      </c>
      <c r="AL32" s="29">
        <f>(AM32+AK32)/2</f>
        <v>5.977375915047098</v>
      </c>
      <c r="AM32" s="29">
        <f>(AO32+AK32)/2</f>
        <v>7.1032928363528329</v>
      </c>
      <c r="AN32" s="29">
        <f>(AO32+AM32)/2</f>
        <v>8.2292097576585679</v>
      </c>
      <c r="AO32" s="29">
        <f>(_xll.Spline('Profile Calcs'!$G$45:$G$65,'Profile Calcs'!$H$45:$H$65,Bulkheads!C32,TRUE))</f>
        <v>9.3551266789643019</v>
      </c>
      <c r="AR32" s="29">
        <f>-(-4*AM35+3*AK35+AO35)*(AO32-AK32)*Bulkheads!U32/Bulkheads!T32</f>
        <v>-2.1393678362263349</v>
      </c>
      <c r="AS32" s="29">
        <f>-(-4*AM35+3*AK35+AO35)/(AO32-AK32)</f>
        <v>-0.26595026600896432</v>
      </c>
      <c r="AT32" s="29">
        <f>DEGREES(ATAN((AL35-AK35)/(AL32-AK32)))</f>
        <v>-12.486843078700408</v>
      </c>
      <c r="AU32" s="28">
        <f>((AX36-AX35)/AX36)/(AY36/Bulkheads!$U$32)</f>
        <v>-0.10547579009405594</v>
      </c>
      <c r="AV32" s="29">
        <f>AL32/COS(AT32*PI()/180)</f>
        <v>6.1221921913884865</v>
      </c>
      <c r="AW32" s="28">
        <f>AV32*SIN(AT32*PI()/180)</f>
        <v>-1.3237123548992906</v>
      </c>
      <c r="AX32" s="29">
        <f>AL35-AW32</f>
        <v>6.9477995637943017</v>
      </c>
      <c r="AY32" s="28">
        <v>0</v>
      </c>
    </row>
    <row r="33" spans="1:54" x14ac:dyDescent="0.2">
      <c r="A33" s="28">
        <v>19</v>
      </c>
      <c r="B33" s="28" t="s">
        <v>104</v>
      </c>
      <c r="C33" s="29">
        <f>W$3+W$4*Bulkheads!$I32+W$5*Bulkheads!$J32+W$6*Bulkheads!$K32</f>
        <v>0</v>
      </c>
      <c r="D33" s="29">
        <f>X$3+X$4*Bulkheads!$I32+X$5*Bulkheads!$J32+X$6*Bulkheads!$K32</f>
        <v>1.333895388069819E-2</v>
      </c>
      <c r="E33" s="29">
        <f>Y$3+Y$4*Bulkheads!$I32+Y$5*Bulkheads!$J32+Y$6*Bulkheads!$K32</f>
        <v>4.0016547705294246E-2</v>
      </c>
      <c r="F33" s="29">
        <f>Z$3+Z$4*Bulkheads!$I32+Z$5*Bulkheads!$J32+Z$6*Bulkheads!$K32</f>
        <v>6.6688810101058621E-2</v>
      </c>
      <c r="G33" s="29">
        <f>AA$3+AA$4*Bulkheads!$I32+AA$5*Bulkheads!$J32+AA$6*Bulkheads!$K32</f>
        <v>9.3349052202531341E-2</v>
      </c>
      <c r="H33" s="29">
        <f>AB$3+AB$4*Bulkheads!$I32+AB$5*Bulkheads!$J32+AB$6*Bulkheads!$K32</f>
        <v>0.13330001383234896</v>
      </c>
      <c r="I33" s="29">
        <f>AC$3+AC$4*Bulkheads!$I32+AC$5*Bulkheads!$J32+AC$6*Bulkheads!$K32</f>
        <v>0.19970430236660486</v>
      </c>
      <c r="J33" s="29">
        <f>AD$3+AD$4*Bulkheads!$I32+AD$5*Bulkheads!$J32+AD$6*Bulkheads!$K32</f>
        <v>0.26573694501305539</v>
      </c>
      <c r="K33" s="29">
        <f>AE$3+AE$4*Bulkheads!$I32+AE$5*Bulkheads!$J32+AE$6*Bulkheads!$K32</f>
        <v>0.39585126056193065</v>
      </c>
      <c r="L33" s="29">
        <f>AF$3+AF$4*Bulkheads!$I32+AF$5*Bulkheads!$J32+AF$6*Bulkheads!$K32</f>
        <v>0.52161667768270525</v>
      </c>
      <c r="M33" s="29">
        <f>AG$3+AG$4*Bulkheads!$I32+AG$5*Bulkheads!$J32+AG$6*Bulkheads!$K32</f>
        <v>0.64044016376302937</v>
      </c>
      <c r="N33" s="29">
        <f>AH$3+AH$4*Bulkheads!$I32+AH$5*Bulkheads!$J32+AH$6*Bulkheads!$K32</f>
        <v>0.74916193637447193</v>
      </c>
      <c r="O33" s="29">
        <f>AI$3+AI$4*Bulkheads!$I32+AI$5*Bulkheads!$J32+AI$6*Bulkheads!$K32</f>
        <v>0.84405546327252257</v>
      </c>
      <c r="P33" s="29">
        <f>AJ$3+AJ$4*Bulkheads!$I32+AJ$5*Bulkheads!$J32+AJ$6*Bulkheads!$K32</f>
        <v>0.92082746239658975</v>
      </c>
      <c r="Q33" s="29">
        <f>AK$3+AK$4*Bulkheads!$I32+AK$5*Bulkheads!$J32+AK$6*Bulkheads!$K32</f>
        <v>0.97461790186999619</v>
      </c>
      <c r="R33" s="29">
        <v>1</v>
      </c>
      <c r="S33" s="29">
        <f>AM$3+AM$4*Bulkheads!$I32+AM$5*Bulkheads!$J32+AM$6*Bulkheads!$K32</f>
        <v>0.99098022527775731</v>
      </c>
      <c r="T33" s="29">
        <f>AN$3+AN$4*Bulkheads!$I32+AN$5*Bulkheads!$J32+AN$6*Bulkheads!$K32</f>
        <v>0.94099829637836108</v>
      </c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R33" s="29"/>
      <c r="AS33" s="29"/>
      <c r="AT33" s="29"/>
      <c r="AX33" s="29">
        <f>AL35</f>
        <v>5.6240872088950109</v>
      </c>
      <c r="AY33" s="29">
        <f>AL32</f>
        <v>5.977375915047098</v>
      </c>
    </row>
    <row r="34" spans="1:54" s="38" customFormat="1" x14ac:dyDescent="0.2">
      <c r="B34" s="28" t="s">
        <v>103</v>
      </c>
      <c r="C34" s="29" t="e">
        <f>Bulkheads!$R32*C$13+Bulkheads!$Q32-Bulkheads!$O32/(C$13+Bulkheads!$P32)</f>
        <v>#DIV/0!</v>
      </c>
      <c r="D34" s="29">
        <f>Bulkheads!$R32*D$13+Bulkheads!$Q32-Bulkheads!$O32/(D$13+Bulkheads!$P32)</f>
        <v>0.90864960354375524</v>
      </c>
      <c r="E34" s="29">
        <f>Bulkheads!$R32*E$13+Bulkheads!$Q32-Bulkheads!$O32/(E$13+Bulkheads!$P32)</f>
        <v>0.9104950660984269</v>
      </c>
      <c r="F34" s="29">
        <f>Bulkheads!$R32*F$13+Bulkheads!$Q32-Bulkheads!$O32/(F$13+Bulkheads!$P32)</f>
        <v>0.91234052865309845</v>
      </c>
      <c r="G34" s="29">
        <f>Bulkheads!$R32*G$13+Bulkheads!$Q32-Bulkheads!$O32/(G$13+Bulkheads!$P32)</f>
        <v>0.91418599120777011</v>
      </c>
      <c r="H34" s="29">
        <f>Bulkheads!$R32*H$13+Bulkheads!$Q32-Bulkheads!$O32/(H$13+Bulkheads!$P32)</f>
        <v>0.91695418503977755</v>
      </c>
      <c r="I34" s="29">
        <f>Bulkheads!$R32*I$13+Bulkheads!$Q32-Bulkheads!$O32/(I$13+Bulkheads!$P32)</f>
        <v>0.92156784142645654</v>
      </c>
      <c r="J34" s="29">
        <f>Bulkheads!$R32*J$13+Bulkheads!$Q32-Bulkheads!$O32/(J$13+Bulkheads!$P32)</f>
        <v>0.92618149781313552</v>
      </c>
      <c r="K34" s="29">
        <f>Bulkheads!$R32*K$13+Bulkheads!$Q32-Bulkheads!$O32/(K$13+Bulkheads!$P32)</f>
        <v>0.93540881058649361</v>
      </c>
      <c r="L34" s="29">
        <f>Bulkheads!$R32*L$13+Bulkheads!$Q32-Bulkheads!$O32/(L$13+Bulkheads!$P32)</f>
        <v>0.9446361233598517</v>
      </c>
      <c r="M34" s="29">
        <f>Bulkheads!$R32*M$13+Bulkheads!$Q32-Bulkheads!$O32/(M$13+Bulkheads!$P32)</f>
        <v>0.95386343613320967</v>
      </c>
      <c r="N34" s="29">
        <f>Bulkheads!$R32*N$13+Bulkheads!$Q32-Bulkheads!$O32/(N$13+Bulkheads!$P32)</f>
        <v>0.96309074890656776</v>
      </c>
      <c r="O34" s="29">
        <f>Bulkheads!$R32*O$13+Bulkheads!$Q32-Bulkheads!$O32/(O$13+Bulkheads!$P32)</f>
        <v>0.97231806167992585</v>
      </c>
      <c r="P34" s="29">
        <f>Bulkheads!$R32*P$13+Bulkheads!$Q32-Bulkheads!$O32/(P$13+Bulkheads!$P32)</f>
        <v>0.98154537445328383</v>
      </c>
      <c r="Q34" s="29">
        <f>Bulkheads!$R32*Q$13+Bulkheads!$Q32-Bulkheads!$O32/(Q$13+Bulkheads!$P32)</f>
        <v>0.99077268722664191</v>
      </c>
      <c r="R34" s="29">
        <v>1</v>
      </c>
      <c r="S34" s="29">
        <f>Bulkheads!$R32*S$13+Bulkheads!$Q32-Bulkheads!$O32/(S$13+Bulkheads!$P32)</f>
        <v>1.009227312773358</v>
      </c>
      <c r="T34" s="29">
        <f>Bulkheads!$R32*T$13+Bulkheads!$Q32-Bulkheads!$O32/(T$13+Bulkheads!$P32)</f>
        <v>1.0184546255467162</v>
      </c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29"/>
      <c r="AM34" s="29"/>
      <c r="AN34" s="29"/>
      <c r="AO34" s="29"/>
      <c r="AP34" s="28"/>
      <c r="AQ34" s="28"/>
      <c r="AR34" s="29"/>
      <c r="AS34" s="29"/>
      <c r="AT34" s="36"/>
    </row>
    <row r="35" spans="1:54" s="38" customFormat="1" x14ac:dyDescent="0.2">
      <c r="C35" s="29">
        <f>IF(Bulkheads!$E32&lt;0.72,C33,C34)</f>
        <v>0</v>
      </c>
      <c r="D35" s="29">
        <f>IF(Bulkheads!$E32&lt;0.72,D33,D34)</f>
        <v>1.333895388069819E-2</v>
      </c>
      <c r="E35" s="29">
        <f>IF(Bulkheads!$E32&lt;0.72,E33,E34)</f>
        <v>4.0016547705294246E-2</v>
      </c>
      <c r="F35" s="29">
        <f>IF(Bulkheads!$E32&lt;0.72,F33,F34)</f>
        <v>6.6688810101058621E-2</v>
      </c>
      <c r="G35" s="29">
        <f>IF(Bulkheads!$E32&lt;0.72,G33,G34)</f>
        <v>9.3349052202531341E-2</v>
      </c>
      <c r="H35" s="29">
        <f>IF(Bulkheads!$E32&lt;0.72,H33,H34)</f>
        <v>0.13330001383234896</v>
      </c>
      <c r="I35" s="29">
        <f>IF(Bulkheads!$E32&lt;0.72,I33,I34)</f>
        <v>0.19970430236660486</v>
      </c>
      <c r="J35" s="29">
        <f>IF(Bulkheads!$E32&lt;0.72,J33,J34)</f>
        <v>0.26573694501305539</v>
      </c>
      <c r="K35" s="29">
        <f>IF(Bulkheads!$E32&lt;0.72,K33,K34)</f>
        <v>0.39585126056193065</v>
      </c>
      <c r="L35" s="29">
        <f>IF(Bulkheads!$E32&lt;0.72,L33,L34)</f>
        <v>0.52161667768270525</v>
      </c>
      <c r="M35" s="29">
        <f>IF(Bulkheads!$E32&lt;0.72,M33,M34)</f>
        <v>0.64044016376302937</v>
      </c>
      <c r="N35" s="29">
        <f>IF(Bulkheads!$E32&lt;0.72,N33,N34)</f>
        <v>0.74916193637447193</v>
      </c>
      <c r="O35" s="29">
        <f>IF(Bulkheads!$E32&lt;0.72,O33,O34)</f>
        <v>0.84405546327252257</v>
      </c>
      <c r="P35" s="29">
        <f>IF(Bulkheads!$E32&lt;0.72,P33,P34)</f>
        <v>0.92082746239658975</v>
      </c>
      <c r="Q35" s="29">
        <f>IF(Bulkheads!$E32&lt;0.72,Q33,Q34)</f>
        <v>0.97461790186999619</v>
      </c>
      <c r="R35" s="29">
        <v>1</v>
      </c>
      <c r="S35" s="29">
        <f>IF(Bulkheads!$E32&lt;0.72,S33,S34)</f>
        <v>0.99098022527775731</v>
      </c>
      <c r="T35" s="29">
        <f>IF(Bulkheads!$E32&lt;0.72,T33,T34)</f>
        <v>0.94099829637836108</v>
      </c>
      <c r="U35" s="36"/>
      <c r="V35" s="29">
        <f>C35*Bulkheads!$T32</f>
        <v>0</v>
      </c>
      <c r="W35" s="29">
        <f>D35*Bulkheads!$T32</f>
        <v>7.8345355087208815E-2</v>
      </c>
      <c r="X35" s="29">
        <f>E35*Bulkheads!$T32</f>
        <v>0.23503422137714222</v>
      </c>
      <c r="Y35" s="29">
        <f>F35*Bulkheads!$T32</f>
        <v>0.39169177391573684</v>
      </c>
      <c r="Z35" s="29">
        <f>G35*Bulkheads!$T32</f>
        <v>0.54827872614841877</v>
      </c>
      <c r="AA35" s="29">
        <f>H35*Bulkheads!$T32</f>
        <v>0.78292773258157444</v>
      </c>
      <c r="AB35" s="29">
        <f>I35*Bulkheads!$T32</f>
        <v>1.1729483902028479</v>
      </c>
      <c r="AC35" s="29">
        <f>J35*Bulkheads!$T32</f>
        <v>1.560786213299973</v>
      </c>
      <c r="AD35" s="29">
        <f>K35*Bulkheads!$T32</f>
        <v>2.3250029835788277</v>
      </c>
      <c r="AE35" s="29">
        <f>L35*Bulkheads!$T32</f>
        <v>3.0636768218830266</v>
      </c>
      <c r="AF35" s="29">
        <f>M35*Bulkheads!$T32</f>
        <v>3.7615777437187154</v>
      </c>
      <c r="AG35" s="29">
        <f>N35*Bulkheads!$T32</f>
        <v>4.4001470016332949</v>
      </c>
      <c r="AH35" s="29">
        <f>O35*Bulkheads!$T32</f>
        <v>4.9574970852154294</v>
      </c>
      <c r="AI35" s="29">
        <f>P35*Bulkheads!$T32</f>
        <v>5.4084117210950389</v>
      </c>
      <c r="AJ35" s="29">
        <f>Q35*Bulkheads!$T32</f>
        <v>5.7243458729432692</v>
      </c>
      <c r="AK35" s="29">
        <f>R35*Bulkheads!$T32</f>
        <v>5.8734257414726176</v>
      </c>
      <c r="AL35" s="29">
        <f>(2*AO35+2*AK35-4*AM35)*0.25^2+(4*AM35-3*AK35-AO35)*0.25+AK35</f>
        <v>5.6240872088950109</v>
      </c>
      <c r="AM35" s="29">
        <f>_xll.Spline('Mid Upr WL Opt1 Calcs'!$O$24:$O$44,'Cxx Selected'!$I$77:$I$97,Bulkheads!C32,TRUE)</f>
        <v>5.4749474206126987</v>
      </c>
      <c r="AN35" s="29">
        <f>(2*AO35+2*AK35-4*AM35)*0.75^2+(4*AM35-3*AK35-AO35)*0.75+AK35</f>
        <v>5.4260063766256801</v>
      </c>
      <c r="AO35" s="29">
        <f>_xll.Spline('CWD Opt1 Calcs'!$J$26:$J$46,'Cxx Selected'!$I$52:$I$72,Bulkheads!C32,TRUE)</f>
        <v>5.4772640769339569</v>
      </c>
      <c r="AP35" s="28"/>
      <c r="AQ35" s="28"/>
      <c r="AR35" s="29"/>
      <c r="AS35" s="29"/>
      <c r="AT35" s="36"/>
      <c r="AX35" s="36">
        <f>AK35-AS32*AK32</f>
        <v>7.1636725513897161</v>
      </c>
      <c r="AY35" s="38">
        <v>0</v>
      </c>
    </row>
    <row r="36" spans="1:54" s="38" customFormat="1" x14ac:dyDescent="0.2"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36"/>
      <c r="V36" s="29">
        <f t="shared" ref="V36:AO36" si="12">-V35</f>
        <v>0</v>
      </c>
      <c r="W36" s="29">
        <f t="shared" si="12"/>
        <v>-7.8345355087208815E-2</v>
      </c>
      <c r="X36" s="29">
        <f t="shared" si="12"/>
        <v>-0.23503422137714222</v>
      </c>
      <c r="Y36" s="29">
        <f t="shared" si="12"/>
        <v>-0.39169177391573684</v>
      </c>
      <c r="Z36" s="29">
        <f t="shared" si="12"/>
        <v>-0.54827872614841877</v>
      </c>
      <c r="AA36" s="29">
        <f t="shared" si="12"/>
        <v>-0.78292773258157444</v>
      </c>
      <c r="AB36" s="29">
        <f t="shared" si="12"/>
        <v>-1.1729483902028479</v>
      </c>
      <c r="AC36" s="29">
        <f t="shared" si="12"/>
        <v>-1.560786213299973</v>
      </c>
      <c r="AD36" s="29">
        <f t="shared" si="12"/>
        <v>-2.3250029835788277</v>
      </c>
      <c r="AE36" s="29">
        <f t="shared" si="12"/>
        <v>-3.0636768218830266</v>
      </c>
      <c r="AF36" s="29">
        <f t="shared" si="12"/>
        <v>-3.7615777437187154</v>
      </c>
      <c r="AG36" s="29">
        <f t="shared" si="12"/>
        <v>-4.4001470016332949</v>
      </c>
      <c r="AH36" s="29">
        <f t="shared" si="12"/>
        <v>-4.9574970852154294</v>
      </c>
      <c r="AI36" s="29">
        <f t="shared" si="12"/>
        <v>-5.4084117210950389</v>
      </c>
      <c r="AJ36" s="29">
        <f t="shared" si="12"/>
        <v>-5.7243458729432692</v>
      </c>
      <c r="AK36" s="29">
        <f t="shared" si="12"/>
        <v>-5.8734257414726176</v>
      </c>
      <c r="AL36" s="29">
        <f>(2*AO36+2*AK36-4*AM36)*0.25^2+(4*AM36-3*AK36-AO36)*0.25+AK36</f>
        <v>-5.6240872088950109</v>
      </c>
      <c r="AM36" s="29">
        <f t="shared" si="12"/>
        <v>-5.4749474206126987</v>
      </c>
      <c r="AN36" s="29">
        <f>(2*AO36+2*AK36-4*AM36)*0.75^2+(4*AM36-3*AK36-AO36)*0.75+AK36</f>
        <v>-5.4260063766256801</v>
      </c>
      <c r="AO36" s="29">
        <f t="shared" si="12"/>
        <v>-5.4772640769339569</v>
      </c>
      <c r="AP36" s="28"/>
      <c r="AQ36" s="28"/>
      <c r="AR36" s="29"/>
      <c r="AS36" s="29"/>
      <c r="AT36" s="36"/>
      <c r="AX36" s="36">
        <f>AK35</f>
        <v>5.8734257414726176</v>
      </c>
      <c r="AY36" s="36">
        <f>AK32</f>
        <v>4.8514589937413639</v>
      </c>
    </row>
    <row r="37" spans="1:54" s="38" customFormat="1" x14ac:dyDescent="0.2"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6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8"/>
      <c r="AQ37" s="28"/>
      <c r="AR37" s="29"/>
      <c r="AS37" s="29"/>
      <c r="AT37" s="36"/>
    </row>
    <row r="38" spans="1:54" s="38" customFormat="1" x14ac:dyDescent="0.2"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29">
        <f>C$26*Bulkheads!$U33+($C$1-Bulkheads!$U33)</f>
        <v>1.4918120717362151</v>
      </c>
      <c r="W38" s="29">
        <f>D$26*Bulkheads!$U33+($C$1-Bulkheads!$U33)</f>
        <v>1.5254085409562665</v>
      </c>
      <c r="X38" s="29">
        <f>E$26*Bulkheads!$U33+($C$1-Bulkheads!$U33)</f>
        <v>1.5926014793963696</v>
      </c>
      <c r="Y38" s="29">
        <f>F$26*Bulkheads!$U33+($C$1-Bulkheads!$U33)</f>
        <v>1.6597944178364725</v>
      </c>
      <c r="Z38" s="29">
        <f>G$26*Bulkheads!$U33+($C$1-Bulkheads!$U33)</f>
        <v>1.7269873562765756</v>
      </c>
      <c r="AA38" s="29">
        <f>H$26*Bulkheads!$U33+($C$1-Bulkheads!$U33)</f>
        <v>1.8277767639367299</v>
      </c>
      <c r="AB38" s="29">
        <f>I$26*Bulkheads!$U33+($C$1-Bulkheads!$U33)</f>
        <v>1.9957591100369874</v>
      </c>
      <c r="AC38" s="29">
        <f>J$26*Bulkheads!$U33+($C$1-Bulkheads!$U33)</f>
        <v>2.1637414561372448</v>
      </c>
      <c r="AD38" s="29">
        <f>K$26*Bulkheads!$U33+($C$1-Bulkheads!$U33)</f>
        <v>2.4997061483377596</v>
      </c>
      <c r="AE38" s="29">
        <f>L$26*Bulkheads!$U33+($C$1-Bulkheads!$U33)</f>
        <v>2.8356708405382749</v>
      </c>
      <c r="AF38" s="29">
        <f>M$26*Bulkheads!$U33+($C$1-Bulkheads!$U33)</f>
        <v>3.1716355327387893</v>
      </c>
      <c r="AG38" s="29">
        <f>N$26*Bulkheads!$U33+($C$1-Bulkheads!$U33)</f>
        <v>3.5076002249393041</v>
      </c>
      <c r="AH38" s="29">
        <f>O$26*Bulkheads!$U33+($C$1-Bulkheads!$U33)</f>
        <v>3.843564917139819</v>
      </c>
      <c r="AI38" s="29">
        <f>P$26*Bulkheads!$U33+($C$1-Bulkheads!$U33)</f>
        <v>4.1795296093403342</v>
      </c>
      <c r="AJ38" s="29">
        <f>Q$26*Bulkheads!$U33+($C$1-Bulkheads!$U33)</f>
        <v>4.5154943015408495</v>
      </c>
      <c r="AK38" s="29">
        <f>R$26*Bulkheads!$U33+($C$1-Bulkheads!$U33)</f>
        <v>4.8514589937413639</v>
      </c>
      <c r="AL38" s="29">
        <f>(AM38+AK38)/2</f>
        <v>5.9589115966735609</v>
      </c>
      <c r="AM38" s="29">
        <f>(AO38+AK38)/2</f>
        <v>7.0663641996057569</v>
      </c>
      <c r="AN38" s="29">
        <f>(AO38+AM38)/2</f>
        <v>8.173816802537953</v>
      </c>
      <c r="AO38" s="29">
        <f>(_xll.Spline('Profile Calcs'!$G$45:$G$65,'Profile Calcs'!$H$45:$H$65,Bulkheads!C33,TRUE))</f>
        <v>9.2812694054701499</v>
      </c>
      <c r="AP38" s="28"/>
      <c r="AQ38" s="28">
        <f>(AJ41-AK41)/(AJ38-AK38)</f>
        <v>0.14469631739018415</v>
      </c>
      <c r="AR38" s="29">
        <f>-(-4*AM41+3*AK41+AO41)*(AO38-AK38)*Bulkheads!U33/Bulkheads!T33</f>
        <v>-0.58994059009628264</v>
      </c>
      <c r="AS38" s="29">
        <f>-(-4*AM41+3*AK41+AO41)/(AO38-AK38)</f>
        <v>-5.3374325944649782E-2</v>
      </c>
      <c r="AT38" s="29">
        <f>DEGREES(ATAN((AM41-AK41)/(AM38-AK38)))</f>
        <v>-0.2579806603190305</v>
      </c>
      <c r="AU38" s="28">
        <f>((AX42-AX41)/AX42)/(AY42/Bulkheads!$U$33)</f>
        <v>-3.0063393345356446E-2</v>
      </c>
      <c r="AV38" s="29">
        <f>AL38/COS(AT38*PI()/180)</f>
        <v>5.9589720012232021</v>
      </c>
      <c r="AW38" s="28">
        <f>AV38*SIN(AT38*PI()/180)</f>
        <v>-2.6830847758023583E-2</v>
      </c>
      <c r="AX38" s="29">
        <f>AL41-AW38</f>
        <v>5.9594751173959581</v>
      </c>
      <c r="AY38" s="28">
        <v>0</v>
      </c>
    </row>
    <row r="39" spans="1:54" x14ac:dyDescent="0.2">
      <c r="A39" s="28">
        <v>18</v>
      </c>
      <c r="B39" s="28" t="s">
        <v>104</v>
      </c>
      <c r="C39" s="29">
        <f>W$3+W$4*Bulkheads!$I33+W$5*Bulkheads!$J33+W$6*Bulkheads!$K33</f>
        <v>0</v>
      </c>
      <c r="D39" s="29">
        <f>X$3+X$4*Bulkheads!$I33+X$5*Bulkheads!$J33+X$6*Bulkheads!$K33</f>
        <v>1.6379693910652096E-2</v>
      </c>
      <c r="E39" s="29">
        <f>Y$3+Y$4*Bulkheads!$I33+Y$5*Bulkheads!$J33+Y$6*Bulkheads!$K33</f>
        <v>4.9536196443641281E-2</v>
      </c>
      <c r="F39" s="29">
        <f>Z$3+Z$4*Bulkheads!$I33+Z$5*Bulkheads!$J33+Z$6*Bulkheads!$K33</f>
        <v>8.3127957972769867E-2</v>
      </c>
      <c r="G39" s="29">
        <f>AA$3+AA$4*Bulkheads!$I33+AA$5*Bulkheads!$J33+AA$6*Bulkheads!$K33</f>
        <v>0.11704547446598232</v>
      </c>
      <c r="H39" s="29">
        <f>AB$3+AB$4*Bulkheads!$I33+AB$5*Bulkheads!$J33+AB$6*Bulkheads!$K33</f>
        <v>0.16830303669379185</v>
      </c>
      <c r="I39" s="29">
        <f>AC$3+AC$4*Bulkheads!$I33+AC$5*Bulkheads!$J33+AC$6*Bulkheads!$K33</f>
        <v>0.25392575788947969</v>
      </c>
      <c r="J39" s="29">
        <f>AD$3+AD$4*Bulkheads!$I33+AD$5*Bulkheads!$J33+AD$6*Bulkheads!$K33</f>
        <v>0.33855596075379452</v>
      </c>
      <c r="K39" s="29">
        <f>AE$3+AE$4*Bulkheads!$I33+AE$5*Bulkheads!$J33+AE$6*Bulkheads!$K33</f>
        <v>0.49987475560188216</v>
      </c>
      <c r="L39" s="29">
        <f>AF$3+AF$4*Bulkheads!$I33+AF$5*Bulkheads!$J33+AF$6*Bulkheads!$K33</f>
        <v>0.64392448414068026</v>
      </c>
      <c r="M39" s="29">
        <f>AG$3+AG$4*Bulkheads!$I33+AG$5*Bulkheads!$J33+AG$6*Bulkheads!$K33</f>
        <v>0.7649192887535643</v>
      </c>
      <c r="N39" s="29">
        <f>AH$3+AH$4*Bulkheads!$I33+AH$5*Bulkheads!$J33+AH$6*Bulkheads!$K33</f>
        <v>0.85962239130466145</v>
      </c>
      <c r="O39" s="29">
        <f>AI$3+AI$4*Bulkheads!$I33+AI$5*Bulkheads!$J33+AI$6*Bulkheads!$K33</f>
        <v>0.92734609313884953</v>
      </c>
      <c r="P39" s="29">
        <f>AJ$3+AJ$4*Bulkheads!$I33+AJ$5*Bulkheads!$J33+AJ$6*Bulkheads!$K33</f>
        <v>0.96995177508175778</v>
      </c>
      <c r="Q39" s="29">
        <f>AK$3+AK$4*Bulkheads!$I33+AK$5*Bulkheads!$J33+AK$6*Bulkheads!$K33</f>
        <v>0.99184989743976026</v>
      </c>
      <c r="R39" s="29">
        <v>1</v>
      </c>
      <c r="S39" s="29">
        <f>AM$3+AM$4*Bulkheads!$I33+AM$5*Bulkheads!$J33+AM$6*Bulkheads!$K33</f>
        <v>1.0039107020303455</v>
      </c>
      <c r="T39" s="29">
        <f>AN$3+AN$4*Bulkheads!$I33+AN$5*Bulkheads!$J33+AN$6*Bulkheads!$K33</f>
        <v>1.0156397022794394</v>
      </c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R39" s="29"/>
      <c r="AS39" s="29"/>
      <c r="AT39" s="29"/>
      <c r="AX39" s="29">
        <f>AL41</f>
        <v>5.9326442696379349</v>
      </c>
      <c r="AY39" s="29">
        <f>AL38</f>
        <v>5.9589115966735609</v>
      </c>
    </row>
    <row r="40" spans="1:54" x14ac:dyDescent="0.2">
      <c r="B40" s="28" t="s">
        <v>103</v>
      </c>
      <c r="C40" s="29" t="e">
        <f>Bulkheads!$R33*C$13+Bulkheads!$Q33-Bulkheads!$O33/(C$13+Bulkheads!$P33)</f>
        <v>#DIV/0!</v>
      </c>
      <c r="D40" s="29">
        <f>Bulkheads!$R33*D$13+Bulkheads!$Q33-Bulkheads!$O33/(D$13+Bulkheads!$P33)</f>
        <v>0.95809122964024052</v>
      </c>
      <c r="E40" s="29">
        <f>Bulkheads!$R33*E$13+Bulkheads!$Q33-Bulkheads!$O33/(E$13+Bulkheads!$P33)</f>
        <v>0.95893787146569021</v>
      </c>
      <c r="F40" s="29">
        <f>Bulkheads!$R33*F$13+Bulkheads!$Q33-Bulkheads!$O33/(F$13+Bulkheads!$P33)</f>
        <v>0.9597845132911399</v>
      </c>
      <c r="G40" s="29">
        <f>Bulkheads!$R33*G$13+Bulkheads!$Q33-Bulkheads!$O33/(G$13+Bulkheads!$P33)</f>
        <v>0.96063115511658959</v>
      </c>
      <c r="H40" s="29">
        <f>Bulkheads!$R33*H$13+Bulkheads!$Q33-Bulkheads!$O33/(H$13+Bulkheads!$P33)</f>
        <v>0.96190111785476418</v>
      </c>
      <c r="I40" s="29">
        <f>Bulkheads!$R33*I$13+Bulkheads!$Q33-Bulkheads!$O33/(I$13+Bulkheads!$P33)</f>
        <v>0.96401772241838835</v>
      </c>
      <c r="J40" s="29">
        <f>Bulkheads!$R33*J$13+Bulkheads!$Q33-Bulkheads!$O33/(J$13+Bulkheads!$P33)</f>
        <v>0.96613432698201263</v>
      </c>
      <c r="K40" s="29">
        <f>Bulkheads!$R33*K$13+Bulkheads!$Q33-Bulkheads!$O33/(K$13+Bulkheads!$P33)</f>
        <v>0.97036753610926096</v>
      </c>
      <c r="L40" s="29">
        <f>Bulkheads!$R33*L$13+Bulkheads!$Q33-Bulkheads!$O33/(L$13+Bulkheads!$P33)</f>
        <v>0.97460074523650941</v>
      </c>
      <c r="M40" s="29">
        <f>Bulkheads!$R33*M$13+Bulkheads!$Q33-Bulkheads!$O33/(M$13+Bulkheads!$P33)</f>
        <v>0.97883395436375786</v>
      </c>
      <c r="N40" s="29">
        <f>Bulkheads!$R33*N$13+Bulkheads!$Q33-Bulkheads!$O33/(N$13+Bulkheads!$P33)</f>
        <v>0.98306716349100631</v>
      </c>
      <c r="O40" s="29">
        <f>Bulkheads!$R33*O$13+Bulkheads!$Q33-Bulkheads!$O33/(O$13+Bulkheads!$P33)</f>
        <v>0.98730037261825476</v>
      </c>
      <c r="P40" s="29">
        <f>Bulkheads!$R33*P$13+Bulkheads!$Q33-Bulkheads!$O33/(P$13+Bulkheads!$P33)</f>
        <v>0.9915335817455031</v>
      </c>
      <c r="Q40" s="29">
        <f>Bulkheads!$R33*Q$13+Bulkheads!$Q33-Bulkheads!$O33/(Q$13+Bulkheads!$P33)</f>
        <v>0.99576679087275155</v>
      </c>
      <c r="R40" s="29">
        <v>1</v>
      </c>
      <c r="S40" s="29">
        <f>Bulkheads!$R33*S$13+Bulkheads!$Q33-Bulkheads!$O33/(S$13+Bulkheads!$P33)</f>
        <v>1.0042332091272483</v>
      </c>
      <c r="T40" s="29">
        <f>Bulkheads!$R33*T$13+Bulkheads!$Q33-Bulkheads!$O33/(T$13+Bulkheads!$P33)</f>
        <v>1.0084664182544969</v>
      </c>
      <c r="U40" s="36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R40" s="29"/>
      <c r="AS40" s="29"/>
      <c r="AT40" s="29"/>
      <c r="AV40" s="38"/>
      <c r="AW40" s="38"/>
      <c r="AX40" s="38"/>
      <c r="AY40" s="38"/>
    </row>
    <row r="41" spans="1:54" x14ac:dyDescent="0.2">
      <c r="C41" s="29">
        <f>IF(Bulkheads!$E33&lt;0.72,C39,C40)</f>
        <v>0</v>
      </c>
      <c r="D41" s="29">
        <f>IF(Bulkheads!$E33&lt;0.72,D39,D40)</f>
        <v>1.6379693910652096E-2</v>
      </c>
      <c r="E41" s="29">
        <f>IF(Bulkheads!$E33&lt;0.72,E39,E40)</f>
        <v>4.9536196443641281E-2</v>
      </c>
      <c r="F41" s="29">
        <f>IF(Bulkheads!$E33&lt;0.72,F39,F40)</f>
        <v>8.3127957972769867E-2</v>
      </c>
      <c r="G41" s="29">
        <f>IF(Bulkheads!$E33&lt;0.72,G39,G40)</f>
        <v>0.11704547446598232</v>
      </c>
      <c r="H41" s="29">
        <f>IF(Bulkheads!$E33&lt;0.72,H39,H40)</f>
        <v>0.16830303669379185</v>
      </c>
      <c r="I41" s="29">
        <f>IF(Bulkheads!$E33&lt;0.72,I39,I40)</f>
        <v>0.25392575788947969</v>
      </c>
      <c r="J41" s="29">
        <f>IF(Bulkheads!$E33&lt;0.72,J39,J40)</f>
        <v>0.33855596075379452</v>
      </c>
      <c r="K41" s="29">
        <f>IF(Bulkheads!$E33&lt;0.72,K39,K40)</f>
        <v>0.49987475560188216</v>
      </c>
      <c r="L41" s="29">
        <f>IF(Bulkheads!$E33&lt;0.72,L39,L40)</f>
        <v>0.64392448414068026</v>
      </c>
      <c r="M41" s="29">
        <f>IF(Bulkheads!$E33&lt;0.72,M39,M40)</f>
        <v>0.7649192887535643</v>
      </c>
      <c r="N41" s="29">
        <f>IF(Bulkheads!$E33&lt;0.72,N39,N40)</f>
        <v>0.85962239130466145</v>
      </c>
      <c r="O41" s="29">
        <f>IF(Bulkheads!$E33&lt;0.72,O39,O40)</f>
        <v>0.92734609313884953</v>
      </c>
      <c r="P41" s="29">
        <f>IF(Bulkheads!$E33&lt;0.72,P39,P40)</f>
        <v>0.96995177508175778</v>
      </c>
      <c r="Q41" s="29">
        <f>IF(Bulkheads!$E33&lt;0.72,Q39,Q40)</f>
        <v>0.99184989743976026</v>
      </c>
      <c r="R41" s="29">
        <v>1</v>
      </c>
      <c r="S41" s="29">
        <f>IF(Bulkheads!$E33&lt;0.72,S39,S40)</f>
        <v>1.0039107020303455</v>
      </c>
      <c r="T41" s="29">
        <f>IF(Bulkheads!$E33&lt;0.72,T39,T40)</f>
        <v>1.0156397022794394</v>
      </c>
      <c r="U41" s="29"/>
      <c r="V41" s="29">
        <f>C41*Bulkheads!$T33</f>
        <v>0</v>
      </c>
      <c r="W41" s="29">
        <f>D41*Bulkheads!$T33</f>
        <v>9.7699833641315126E-2</v>
      </c>
      <c r="X41" s="29">
        <f>E41*Bulkheads!$T33</f>
        <v>0.29546816797473263</v>
      </c>
      <c r="Y41" s="29">
        <f>F41*Bulkheads!$T33</f>
        <v>0.49583268827753818</v>
      </c>
      <c r="Z41" s="29">
        <f>G41*Bulkheads!$T33</f>
        <v>0.69814023669627989</v>
      </c>
      <c r="AA41" s="29">
        <f>H41*Bulkheads!$T33</f>
        <v>1.0038758218563679</v>
      </c>
      <c r="AB41" s="29">
        <f>I41*Bulkheads!$T33</f>
        <v>1.5145890050432187</v>
      </c>
      <c r="AC41" s="29">
        <f>J41*Bulkheads!$T33</f>
        <v>2.0193821218118542</v>
      </c>
      <c r="AD41" s="29">
        <f>K41*Bulkheads!$T33</f>
        <v>2.9815990903246772</v>
      </c>
      <c r="AE41" s="29">
        <f>L41*Bulkheads!$T33</f>
        <v>3.8408113925255605</v>
      </c>
      <c r="AF41" s="29">
        <f>M41*Bulkheads!$T33</f>
        <v>4.5625081682177253</v>
      </c>
      <c r="AG41" s="29">
        <f>N41*Bulkheads!$T33</f>
        <v>5.1273830318768985</v>
      </c>
      <c r="AH41" s="29">
        <f>O41*Bulkheads!$T33</f>
        <v>5.5313340726513101</v>
      </c>
      <c r="AI41" s="29">
        <f>P41*Bulkheads!$T33</f>
        <v>5.7854638543616934</v>
      </c>
      <c r="AJ41" s="29">
        <f>Q41*Bulkheads!$T33</f>
        <v>5.9160794155012502</v>
      </c>
      <c r="AK41" s="29">
        <f>R41*Bulkheads!$T33</f>
        <v>5.9646922692357913</v>
      </c>
      <c r="AL41" s="29">
        <f>(2*AO41+2*AK41-4*AM41)*0.25^2+(4*AM41-3*AK41-AO41)*0.25+AK41</f>
        <v>5.9326442696379349</v>
      </c>
      <c r="AM41" s="29">
        <f>_xll.Spline('Mid Upr WL Opt1 Calcs'!$O$24:$O$44,'Cxx Selected'!$I$77:$I$97,Bulkheads!C33,TRUE)</f>
        <v>5.954719343238672</v>
      </c>
      <c r="AN41" s="29">
        <f>(2*AO41+2*AK41-4*AM41)*0.75^2+(4*AM41-3*AK41-AO41)*0.75+AK41</f>
        <v>6.0309174900380027</v>
      </c>
      <c r="AO41" s="29">
        <f>_xll.Spline('CWD Opt1 Calcs'!$J$26:$J$46,'Cxx Selected'!$I$52:$I$72,Bulkheads!C33,TRUE)</f>
        <v>6.1612387100359287</v>
      </c>
      <c r="AR41" s="29"/>
      <c r="AS41" s="29"/>
      <c r="AT41" s="29"/>
      <c r="AV41" s="38"/>
      <c r="AW41" s="38"/>
      <c r="AX41" s="36">
        <f>AK41-AS38*AK38</f>
        <v>6.2236356228748457</v>
      </c>
      <c r="AY41" s="38">
        <v>0</v>
      </c>
      <c r="BA41" s="36">
        <f>AK41-AQ38*AK38</f>
        <v>5.2627040188719274</v>
      </c>
      <c r="BB41" s="38">
        <v>0</v>
      </c>
    </row>
    <row r="42" spans="1:54" x14ac:dyDescent="0.2"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>
        <f t="shared" ref="V42:AO42" si="13">-V41</f>
        <v>0</v>
      </c>
      <c r="W42" s="29">
        <f t="shared" si="13"/>
        <v>-9.7699833641315126E-2</v>
      </c>
      <c r="X42" s="29">
        <f t="shared" si="13"/>
        <v>-0.29546816797473263</v>
      </c>
      <c r="Y42" s="29">
        <f t="shared" si="13"/>
        <v>-0.49583268827753818</v>
      </c>
      <c r="Z42" s="29">
        <f t="shared" si="13"/>
        <v>-0.69814023669627989</v>
      </c>
      <c r="AA42" s="29">
        <f t="shared" si="13"/>
        <v>-1.0038758218563679</v>
      </c>
      <c r="AB42" s="29">
        <f t="shared" si="13"/>
        <v>-1.5145890050432187</v>
      </c>
      <c r="AC42" s="29">
        <f t="shared" si="13"/>
        <v>-2.0193821218118542</v>
      </c>
      <c r="AD42" s="29">
        <f t="shared" si="13"/>
        <v>-2.9815990903246772</v>
      </c>
      <c r="AE42" s="29">
        <f t="shared" si="13"/>
        <v>-3.8408113925255605</v>
      </c>
      <c r="AF42" s="29">
        <f t="shared" si="13"/>
        <v>-4.5625081682177253</v>
      </c>
      <c r="AG42" s="29">
        <f t="shared" si="13"/>
        <v>-5.1273830318768985</v>
      </c>
      <c r="AH42" s="29">
        <f t="shared" si="13"/>
        <v>-5.5313340726513101</v>
      </c>
      <c r="AI42" s="29">
        <f t="shared" si="13"/>
        <v>-5.7854638543616934</v>
      </c>
      <c r="AJ42" s="29">
        <f t="shared" si="13"/>
        <v>-5.9160794155012502</v>
      </c>
      <c r="AK42" s="29">
        <f t="shared" si="13"/>
        <v>-5.9646922692357913</v>
      </c>
      <c r="AL42" s="29">
        <f>(2*AO42+2*AK42-4*AM42)*0.25^2+(4*AM42-3*AK42-AO42)*0.25+AK42</f>
        <v>-5.9326442696379349</v>
      </c>
      <c r="AM42" s="29">
        <f t="shared" si="13"/>
        <v>-5.954719343238672</v>
      </c>
      <c r="AN42" s="29">
        <f>(2*AO42+2*AK42-4*AM42)*0.75^2+(4*AM42-3*AK42-AO42)*0.75+AK42</f>
        <v>-6.0309174900380027</v>
      </c>
      <c r="AO42" s="29">
        <f t="shared" si="13"/>
        <v>-6.1612387100359287</v>
      </c>
      <c r="AR42" s="29"/>
      <c r="AS42" s="29"/>
      <c r="AT42" s="29"/>
      <c r="AV42" s="38"/>
      <c r="AW42" s="38"/>
      <c r="AX42" s="36">
        <f>AK41</f>
        <v>5.9646922692357913</v>
      </c>
      <c r="AY42" s="36">
        <f>AK38</f>
        <v>4.8514589937413639</v>
      </c>
      <c r="BA42" s="36">
        <f>AK41</f>
        <v>5.9646922692357913</v>
      </c>
      <c r="BB42" s="36">
        <f>AK38</f>
        <v>4.8514589937413639</v>
      </c>
    </row>
    <row r="43" spans="1:54" x14ac:dyDescent="0.2"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R43" s="29"/>
      <c r="AS43" s="29"/>
      <c r="AT43" s="29"/>
    </row>
    <row r="44" spans="1:54" x14ac:dyDescent="0.2"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>
        <f>C$26*Bulkheads!$U34+($C$1-Bulkheads!$U34)</f>
        <v>0.68797988774569685</v>
      </c>
      <c r="W44" s="29">
        <f>D$26*Bulkheads!$U34+($C$1-Bulkheads!$U34)</f>
        <v>0.72961467880565356</v>
      </c>
      <c r="X44" s="29">
        <f>E$26*Bulkheads!$U34+($C$1-Bulkheads!$U34)</f>
        <v>0.81288426092556687</v>
      </c>
      <c r="Y44" s="29">
        <f>F$26*Bulkheads!$U34+($C$1-Bulkheads!$U34)</f>
        <v>0.89615384304548018</v>
      </c>
      <c r="Z44" s="29">
        <f>G$26*Bulkheads!$U34+($C$1-Bulkheads!$U34)</f>
        <v>0.97942342516539349</v>
      </c>
      <c r="AA44" s="29">
        <f>H$26*Bulkheads!$U34+($C$1-Bulkheads!$U34)</f>
        <v>1.1043277983452635</v>
      </c>
      <c r="AB44" s="29">
        <f>I$26*Bulkheads!$U34+($C$1-Bulkheads!$U34)</f>
        <v>1.312501753645047</v>
      </c>
      <c r="AC44" s="29">
        <f>J$26*Bulkheads!$U34+($C$1-Bulkheads!$U34)</f>
        <v>1.5206757089448302</v>
      </c>
      <c r="AD44" s="29">
        <f>K$26*Bulkheads!$U34+($C$1-Bulkheads!$U34)</f>
        <v>1.9370236195443968</v>
      </c>
      <c r="AE44" s="29">
        <f>L$26*Bulkheads!$U34+($C$1-Bulkheads!$U34)</f>
        <v>2.3533715301439635</v>
      </c>
      <c r="AF44" s="29">
        <f>M$26*Bulkheads!$U34+($C$1-Bulkheads!$U34)</f>
        <v>2.7697194407435304</v>
      </c>
      <c r="AG44" s="29">
        <f>N$26*Bulkheads!$U34+($C$1-Bulkheads!$U34)</f>
        <v>3.1860673513430968</v>
      </c>
      <c r="AH44" s="29">
        <f>O$26*Bulkheads!$U34+($C$1-Bulkheads!$U34)</f>
        <v>3.6024152619426637</v>
      </c>
      <c r="AI44" s="29">
        <f>P$26*Bulkheads!$U34+($C$1-Bulkheads!$U34)</f>
        <v>4.018763172542231</v>
      </c>
      <c r="AJ44" s="29">
        <f>Q$26*Bulkheads!$U34+($C$1-Bulkheads!$U34)</f>
        <v>4.4351110831417975</v>
      </c>
      <c r="AK44" s="29">
        <f>R$26*Bulkheads!$U34+($C$1-Bulkheads!$U34)</f>
        <v>4.8514589937413639</v>
      </c>
      <c r="AL44" s="29">
        <f>(AM44+AK44)/2</f>
        <v>5.9404473434502805</v>
      </c>
      <c r="AM44" s="29">
        <f>(AO44+AK44)/2</f>
        <v>7.0294356931591961</v>
      </c>
      <c r="AN44" s="29">
        <f>(AO44+AM44)/2</f>
        <v>8.1184240428681118</v>
      </c>
      <c r="AO44" s="29">
        <f>(_xll.Spline('Profile Calcs'!$G$45:$G$65,'Profile Calcs'!$H$45:$H$65,Bulkheads!C34,TRUE))</f>
        <v>9.2074123925770284</v>
      </c>
      <c r="AR44" s="29">
        <f>-(-4*AM47+3*AK47+AO47)*(AO44-AK44)*Bulkheads!U34/Bulkheads!T34</f>
        <v>1.3952522897624167</v>
      </c>
      <c r="AS44" s="29">
        <f>-(-4*AM47+3*AK47+AO47)/(AO44-AK44)</f>
        <v>0.10712904298483367</v>
      </c>
      <c r="AT44" s="29">
        <f>DEGREES(ATAN((AM47-AK47)/(AM44-AK44)))</f>
        <v>6.9903319492543217</v>
      </c>
      <c r="AU44" s="28">
        <f>((AX48-AX47)/AX48)/(AY48/Bulkheads!$U$34)</f>
        <v>7.3533678860815063E-2</v>
      </c>
      <c r="AV44" s="29">
        <f>AL44/COS(AT44*PI()/180)</f>
        <v>5.9849351519761349</v>
      </c>
      <c r="AW44" s="28">
        <f>AV44*SIN(AT44*PI()/180)</f>
        <v>0.72837774063607419</v>
      </c>
      <c r="AX44" s="29">
        <f>AL47-AW44</f>
        <v>5.4623652484826097</v>
      </c>
      <c r="AY44" s="28">
        <v>0</v>
      </c>
    </row>
    <row r="45" spans="1:54" x14ac:dyDescent="0.2">
      <c r="A45" s="28">
        <v>17</v>
      </c>
      <c r="B45" s="28" t="s">
        <v>104</v>
      </c>
      <c r="C45" s="29">
        <f>W$3+W$4*Bulkheads!$I34+W$5*Bulkheads!$J34+W$6*Bulkheads!$K34</f>
        <v>0</v>
      </c>
      <c r="D45" s="29">
        <f>X$3+X$4*Bulkheads!$I34+X$5*Bulkheads!$J34+X$6*Bulkheads!$K34</f>
        <v>1.982045969879611E-2</v>
      </c>
      <c r="E45" s="29">
        <f>Y$3+Y$4*Bulkheads!$I34+Y$5*Bulkheads!$J34+Y$6*Bulkheads!$K34</f>
        <v>6.0092057093537925E-2</v>
      </c>
      <c r="F45" s="29">
        <f>Z$3+Z$4*Bulkheads!$I34+Z$5*Bulkheads!$J34+Z$6*Bulkheads!$K34</f>
        <v>0.10103811082232772</v>
      </c>
      <c r="G45" s="29">
        <f>AA$3+AA$4*Bulkheads!$I34+AA$5*Bulkheads!$J34+AA$6*Bulkheads!$K34</f>
        <v>0.14246615157362696</v>
      </c>
      <c r="H45" s="29">
        <f>AB$3+AB$4*Bulkheads!$I34+AB$5*Bulkheads!$J34+AB$6*Bulkheads!$K34</f>
        <v>0.20511135266984892</v>
      </c>
      <c r="I45" s="29">
        <f>AC$3+AC$4*Bulkheads!$I34+AC$5*Bulkheads!$J34+AC$6*Bulkheads!$K34</f>
        <v>0.30943951389486979</v>
      </c>
      <c r="J45" s="29">
        <f>AD$3+AD$4*Bulkheads!$I34+AD$5*Bulkheads!$J34+AD$6*Bulkheads!$K34</f>
        <v>0.41156684191412168</v>
      </c>
      <c r="K45" s="29">
        <f>AE$3+AE$4*Bulkheads!$I34+AE$5*Bulkheads!$J34+AE$6*Bulkheads!$K34</f>
        <v>0.6010182833243648</v>
      </c>
      <c r="L45" s="29">
        <f>AF$3+AF$4*Bulkheads!$I34+AF$5*Bulkheads!$J34+AF$6*Bulkheads!$K34</f>
        <v>0.76030883752292011</v>
      </c>
      <c r="M45" s="29">
        <f>AG$3+AG$4*Bulkheads!$I34+AG$5*Bulkheads!$J34+AG$6*Bulkheads!$K34</f>
        <v>0.88147301016292234</v>
      </c>
      <c r="N45" s="29">
        <f>AH$3+AH$4*Bulkheads!$I34+AH$5*Bulkheads!$J34+AH$6*Bulkheads!$K34</f>
        <v>0.96173665192830171</v>
      </c>
      <c r="O45" s="29">
        <f>AI$3+AI$4*Bulkheads!$I34+AI$5*Bulkheads!$J34+AI$6*Bulkheads!$K34</f>
        <v>1.0035169585337833</v>
      </c>
      <c r="P45" s="29">
        <f>AJ$3+AJ$4*Bulkheads!$I34+AJ$5*Bulkheads!$J34+AJ$6*Bulkheads!$K34</f>
        <v>1.0144224707248863</v>
      </c>
      <c r="Q45" s="29">
        <f>AK$3+AK$4*Bulkheads!$I34+AK$5*Bulkheads!$J34+AK$6*Bulkheads!$K34</f>
        <v>1.0072530742779178</v>
      </c>
      <c r="R45" s="29">
        <v>1</v>
      </c>
      <c r="S45" s="29">
        <f>AM$3+AM$4*Bulkheads!$I34+AM$5*Bulkheads!$J34+AM$6*Bulkheads!$K34</f>
        <v>1.0158458237290202</v>
      </c>
      <c r="T45" s="29">
        <f>AN$3+AN$4*Bulkheads!$I34+AN$5*Bulkheads!$J34+AN$6*Bulkheads!$K34</f>
        <v>1.0831644663336886</v>
      </c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R45" s="29"/>
      <c r="AS45" s="29"/>
      <c r="AT45" s="29"/>
      <c r="AX45" s="29">
        <f>AL47</f>
        <v>6.190742989118684</v>
      </c>
      <c r="AY45" s="29">
        <f>AL44</f>
        <v>5.9404473434502805</v>
      </c>
    </row>
    <row r="46" spans="1:54" x14ac:dyDescent="0.2">
      <c r="B46" s="28" t="s">
        <v>103</v>
      </c>
      <c r="C46" s="29">
        <f>Bulkheads!$R34*C$13+Bulkheads!$Q34-Bulkheads!$O34/(C$13+Bulkheads!$P34)</f>
        <v>0</v>
      </c>
      <c r="D46" s="29">
        <f>Bulkheads!$R34*D$13+Bulkheads!$Q34-Bulkheads!$O34/(D$13+Bulkheads!$P34)</f>
        <v>3.1575947851960162E-2</v>
      </c>
      <c r="E46" s="29">
        <f>Bulkheads!$R34*E$13+Bulkheads!$Q34-Bulkheads!$O34/(E$13+Bulkheads!$P34)</f>
        <v>9.1944322824870639E-2</v>
      </c>
      <c r="F46" s="29">
        <f>Bulkheads!$R34*F$13+Bulkheads!$Q34-Bulkheads!$O34/(F$13+Bulkheads!$P34)</f>
        <v>0.1488123491779576</v>
      </c>
      <c r="G46" s="29">
        <f>Bulkheads!$R34*G$13+Bulkheads!$Q34-Bulkheads!$O34/(G$13+Bulkheads!$P34)</f>
        <v>0.20241353450509791</v>
      </c>
      <c r="H46" s="29">
        <f>Bulkheads!$R34*H$13+Bulkheads!$Q34-Bulkheads!$O34/(H$13+Bulkheads!$P34)</f>
        <v>0.27715132042474888</v>
      </c>
      <c r="I46" s="29">
        <f>Bulkheads!$R34*I$13+Bulkheads!$Q34-Bulkheads!$O34/(I$13+Bulkheads!$P34)</f>
        <v>0.38815245638192453</v>
      </c>
      <c r="J46" s="29">
        <f>Bulkheads!$R34*J$13+Bulkheads!$Q34-Bulkheads!$O34/(J$13+Bulkheads!$P34)</f>
        <v>0.48434211219893752</v>
      </c>
      <c r="K46" s="29">
        <f>Bulkheads!$R34*K$13+Bulkheads!$Q34-Bulkheads!$O34/(K$13+Bulkheads!$P34)</f>
        <v>0.64015553926972579</v>
      </c>
      <c r="L46" s="29">
        <f>Bulkheads!$R34*L$13+Bulkheads!$Q34-Bulkheads!$O34/(L$13+Bulkheads!$P34)</f>
        <v>0.75712859903227914</v>
      </c>
      <c r="M46" s="29">
        <f>Bulkheads!$R34*M$13+Bulkheads!$Q34-Bulkheads!$O34/(M$13+Bulkheads!$P34)</f>
        <v>0.84402611247480808</v>
      </c>
      <c r="N46" s="29">
        <f>Bulkheads!$R34*N$13+Bulkheads!$Q34-Bulkheads!$O34/(N$13+Bulkheads!$P34)</f>
        <v>0.90716020406002951</v>
      </c>
      <c r="O46" s="29">
        <f>Bulkheads!$R34*O$13+Bulkheads!$Q34-Bulkheads!$O34/(O$13+Bulkheads!$P34)</f>
        <v>0.95119214158665533</v>
      </c>
      <c r="P46" s="29">
        <f>Bulkheads!$R34*P$13+Bulkheads!$Q34-Bulkheads!$O34/(P$13+Bulkheads!$P34)</f>
        <v>0.97963891483677012</v>
      </c>
      <c r="Q46" s="29">
        <f>Bulkheads!$R34*Q$13+Bulkheads!$Q34-Bulkheads!$O34/(Q$13+Bulkheads!$P34)</f>
        <v>0.99520406307433529</v>
      </c>
      <c r="R46" s="29">
        <v>1</v>
      </c>
      <c r="S46" s="29">
        <f>Bulkheads!$R34*S$13+Bulkheads!$Q34-Bulkheads!$O34/(S$13+Bulkheads!$P34)</f>
        <v>0.9957012012885218</v>
      </c>
      <c r="T46" s="29">
        <f>Bulkheads!$R34*T$13+Bulkheads!$Q34-Bulkheads!$O34/(T$13+Bulkheads!$P34)</f>
        <v>0.98365210203536613</v>
      </c>
      <c r="U46" s="36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R46" s="29"/>
      <c r="AS46" s="29"/>
      <c r="AT46" s="29"/>
      <c r="AV46" s="38"/>
      <c r="AW46" s="38"/>
      <c r="AX46" s="38"/>
      <c r="AY46" s="38"/>
    </row>
    <row r="47" spans="1:54" x14ac:dyDescent="0.2">
      <c r="C47" s="29">
        <f>IF(Bulkheads!$E34&lt;0.72,C45,C46)</f>
        <v>0</v>
      </c>
      <c r="D47" s="29">
        <f>IF(Bulkheads!$E34&lt;0.72,D45,D46)</f>
        <v>3.1575947851960162E-2</v>
      </c>
      <c r="E47" s="29">
        <f>IF(Bulkheads!$E34&lt;0.72,E45,E46)</f>
        <v>9.1944322824870639E-2</v>
      </c>
      <c r="F47" s="29">
        <f>IF(Bulkheads!$E34&lt;0.72,F45,F46)</f>
        <v>0.1488123491779576</v>
      </c>
      <c r="G47" s="29">
        <f>IF(Bulkheads!$E34&lt;0.72,G45,G46)</f>
        <v>0.20241353450509791</v>
      </c>
      <c r="H47" s="29">
        <f>IF(Bulkheads!$E34&lt;0.72,H45,H46)</f>
        <v>0.27715132042474888</v>
      </c>
      <c r="I47" s="29">
        <f>IF(Bulkheads!$E34&lt;0.72,I45,I46)</f>
        <v>0.38815245638192453</v>
      </c>
      <c r="J47" s="29">
        <f>IF(Bulkheads!$E34&lt;0.72,J45,J46)</f>
        <v>0.48434211219893752</v>
      </c>
      <c r="K47" s="29">
        <f>IF(Bulkheads!$E34&lt;0.72,K45,K46)</f>
        <v>0.64015553926972579</v>
      </c>
      <c r="L47" s="29">
        <f>IF(Bulkheads!$E34&lt;0.72,L45,L46)</f>
        <v>0.75712859903227914</v>
      </c>
      <c r="M47" s="29">
        <f>IF(Bulkheads!$E34&lt;0.72,M45,M46)</f>
        <v>0.84402611247480808</v>
      </c>
      <c r="N47" s="29">
        <f>IF(Bulkheads!$E34&lt;0.72,N45,N46)</f>
        <v>0.90716020406002951</v>
      </c>
      <c r="O47" s="29">
        <f>IF(Bulkheads!$E34&lt;0.72,O45,O46)</f>
        <v>0.95119214158665533</v>
      </c>
      <c r="P47" s="29">
        <f>IF(Bulkheads!$E34&lt;0.72,P45,P46)</f>
        <v>0.97963891483677012</v>
      </c>
      <c r="Q47" s="29">
        <f>IF(Bulkheads!$E34&lt;0.72,Q45,Q46)</f>
        <v>0.99520406307433529</v>
      </c>
      <c r="R47" s="29">
        <v>1</v>
      </c>
      <c r="S47" s="29">
        <f>IF(Bulkheads!$E34&lt;0.72,S45,S46)</f>
        <v>0.9957012012885218</v>
      </c>
      <c r="T47" s="29">
        <f>IF(Bulkheads!$E34&lt;0.72,T45,T46)</f>
        <v>0.98365210203536613</v>
      </c>
      <c r="U47" s="29"/>
      <c r="V47" s="29">
        <f>C47*Bulkheads!$T34</f>
        <v>0</v>
      </c>
      <c r="W47" s="29">
        <f>D47*Bulkheads!$T34</f>
        <v>0.1915286364644106</v>
      </c>
      <c r="X47" s="29">
        <f>E47*Bulkheads!$T34</f>
        <v>0.55770204789585986</v>
      </c>
      <c r="Y47" s="29">
        <f>F47*Bulkheads!$T34</f>
        <v>0.90264357101003534</v>
      </c>
      <c r="Z47" s="29">
        <f>G47*Bulkheads!$T34</f>
        <v>1.2277695810577767</v>
      </c>
      <c r="AA47" s="29">
        <f>H47*Bulkheads!$T34</f>
        <v>1.6811028047086121</v>
      </c>
      <c r="AB47" s="29">
        <f>I47*Bulkheads!$T34</f>
        <v>2.3543968041651873</v>
      </c>
      <c r="AC47" s="29">
        <f>J47*Bulkheads!$T34</f>
        <v>2.9378495545620309</v>
      </c>
      <c r="AD47" s="29">
        <f>K47*Bulkheads!$T34</f>
        <v>3.8829592111154567</v>
      </c>
      <c r="AE47" s="29">
        <f>L47*Bulkheads!$T34</f>
        <v>4.5924768080037186</v>
      </c>
      <c r="AF47" s="29">
        <f>M47*Bulkheads!$T34</f>
        <v>5.1195666784274243</v>
      </c>
      <c r="AG47" s="29">
        <f>N47*Bulkheads!$T34</f>
        <v>5.5025159578102141</v>
      </c>
      <c r="AH47" s="29">
        <f>O47*Bulkheads!$T34</f>
        <v>5.7695982634594243</v>
      </c>
      <c r="AI47" s="29">
        <f>P47*Bulkheads!$T34</f>
        <v>5.9421464231520726</v>
      </c>
      <c r="AJ47" s="29">
        <f>Q47*Bulkheads!$T34</f>
        <v>6.0365591588293714</v>
      </c>
      <c r="AK47" s="29">
        <f>R47*Bulkheads!$T34</f>
        <v>6.0656496318770348</v>
      </c>
      <c r="AL47" s="29">
        <f>(2*AO47+2*AK47-4*AM47)*0.25^2+(4*AM47-3*AK47-AO47)*0.25+AK47</f>
        <v>6.190742989118684</v>
      </c>
      <c r="AM47" s="29">
        <f>_xll.Spline('Mid Upr WL Opt1 Calcs'!$O$24:$O$44,'Cxx Selected'!$I$77:$I$97,Bulkheads!C34,TRUE)</f>
        <v>6.3326985013917305</v>
      </c>
      <c r="AN47" s="29">
        <f>(2*AO47+2*AK47-4*AM47)*0.75^2+(4*AM47-3*AK47-AO47)*0.75+AK47</f>
        <v>6.4915161686961786</v>
      </c>
      <c r="AO47" s="29">
        <f>_xll.Spline('CWD Opt1 Calcs'!$J$26:$J$46,'Cxx Selected'!$I$52:$I$72,Bulkheads!C34,TRUE)</f>
        <v>6.6671959910320213</v>
      </c>
      <c r="AR47" s="29"/>
      <c r="AS47" s="29"/>
      <c r="AT47" s="29"/>
      <c r="AV47" s="38"/>
      <c r="AW47" s="38"/>
      <c r="AX47" s="36">
        <f>AK47-AS44*AK44</f>
        <v>5.5459174727973579</v>
      </c>
      <c r="AY47" s="38">
        <v>0</v>
      </c>
    </row>
    <row r="48" spans="1:54" x14ac:dyDescent="0.2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>
        <f t="shared" ref="V48:AO48" si="14">-V47</f>
        <v>0</v>
      </c>
      <c r="W48" s="29">
        <f t="shared" si="14"/>
        <v>-0.1915286364644106</v>
      </c>
      <c r="X48" s="29">
        <f t="shared" si="14"/>
        <v>-0.55770204789585986</v>
      </c>
      <c r="Y48" s="29">
        <f t="shared" si="14"/>
        <v>-0.90264357101003534</v>
      </c>
      <c r="Z48" s="29">
        <f t="shared" si="14"/>
        <v>-1.2277695810577767</v>
      </c>
      <c r="AA48" s="29">
        <f t="shared" si="14"/>
        <v>-1.6811028047086121</v>
      </c>
      <c r="AB48" s="29">
        <f t="shared" si="14"/>
        <v>-2.3543968041651873</v>
      </c>
      <c r="AC48" s="29">
        <f t="shared" si="14"/>
        <v>-2.9378495545620309</v>
      </c>
      <c r="AD48" s="29">
        <f t="shared" si="14"/>
        <v>-3.8829592111154567</v>
      </c>
      <c r="AE48" s="29">
        <f t="shared" si="14"/>
        <v>-4.5924768080037186</v>
      </c>
      <c r="AF48" s="29">
        <f t="shared" si="14"/>
        <v>-5.1195666784274243</v>
      </c>
      <c r="AG48" s="29">
        <f t="shared" si="14"/>
        <v>-5.5025159578102141</v>
      </c>
      <c r="AH48" s="29">
        <f t="shared" si="14"/>
        <v>-5.7695982634594243</v>
      </c>
      <c r="AI48" s="29">
        <f t="shared" si="14"/>
        <v>-5.9421464231520726</v>
      </c>
      <c r="AJ48" s="29">
        <f t="shared" si="14"/>
        <v>-6.0365591588293714</v>
      </c>
      <c r="AK48" s="29">
        <f t="shared" si="14"/>
        <v>-6.0656496318770348</v>
      </c>
      <c r="AL48" s="29">
        <f>(2*AO48+2*AK48-4*AM48)*0.25^2+(4*AM48-3*AK48-AO48)*0.25+AK48</f>
        <v>-6.190742989118684</v>
      </c>
      <c r="AM48" s="29">
        <f t="shared" si="14"/>
        <v>-6.3326985013917305</v>
      </c>
      <c r="AN48" s="29">
        <f>(2*AO48+2*AK48-4*AM48)*0.75^2+(4*AM48-3*AK48-AO48)*0.75+AK48</f>
        <v>-6.4915161686961786</v>
      </c>
      <c r="AO48" s="29">
        <f t="shared" si="14"/>
        <v>-6.6671959910320213</v>
      </c>
      <c r="AR48" s="29"/>
      <c r="AS48" s="29"/>
      <c r="AT48" s="29"/>
      <c r="AV48" s="38"/>
      <c r="AW48" s="38"/>
      <c r="AX48" s="36">
        <f>AK47</f>
        <v>6.0656496318770348</v>
      </c>
      <c r="AY48" s="36">
        <f>AK44</f>
        <v>4.8514589937413639</v>
      </c>
    </row>
    <row r="49" spans="1:51" x14ac:dyDescent="0.2"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R49" s="29"/>
      <c r="AS49" s="29"/>
      <c r="AT49" s="29"/>
    </row>
    <row r="50" spans="1:51" x14ac:dyDescent="0.2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>
        <f>C$26*Bulkheads!$U35+($C$1-Bulkheads!$U35)</f>
        <v>0.19295418659146524</v>
      </c>
      <c r="W50" s="29">
        <f>D$26*Bulkheads!$U35+($C$1-Bulkheads!$U35)</f>
        <v>0.23953923466296423</v>
      </c>
      <c r="X50" s="29">
        <f>E$26*Bulkheads!$U35+($C$1-Bulkheads!$U35)</f>
        <v>0.33270933080596221</v>
      </c>
      <c r="Y50" s="29">
        <f>F$26*Bulkheads!$U35+($C$1-Bulkheads!$U35)</f>
        <v>0.42587942694896019</v>
      </c>
      <c r="Z50" s="29">
        <f>G$26*Bulkheads!$U35+($C$1-Bulkheads!$U35)</f>
        <v>0.51904952309195818</v>
      </c>
      <c r="AA50" s="29">
        <f>H$26*Bulkheads!$U35+($C$1-Bulkheads!$U35)</f>
        <v>0.65880466730645515</v>
      </c>
      <c r="AB50" s="29">
        <f>I$26*Bulkheads!$U35+($C$1-Bulkheads!$U35)</f>
        <v>0.89172990766394999</v>
      </c>
      <c r="AC50" s="29">
        <f>J$26*Bulkheads!$U35+($C$1-Bulkheads!$U35)</f>
        <v>1.1246551480214451</v>
      </c>
      <c r="AD50" s="29">
        <f>K$26*Bulkheads!$U35+($C$1-Bulkheads!$U35)</f>
        <v>1.5905056287364348</v>
      </c>
      <c r="AE50" s="29">
        <f>L$26*Bulkheads!$U35+($C$1-Bulkheads!$U35)</f>
        <v>2.0563561094514249</v>
      </c>
      <c r="AF50" s="29">
        <f>M$26*Bulkheads!$U35+($C$1-Bulkheads!$U35)</f>
        <v>2.5222065901664146</v>
      </c>
      <c r="AG50" s="29">
        <f>N$26*Bulkheads!$U35+($C$1-Bulkheads!$U35)</f>
        <v>2.9880570708814043</v>
      </c>
      <c r="AH50" s="29">
        <f>O$26*Bulkheads!$U35+($C$1-Bulkheads!$U35)</f>
        <v>3.453907551596394</v>
      </c>
      <c r="AI50" s="29">
        <f>P$26*Bulkheads!$U35+($C$1-Bulkheads!$U35)</f>
        <v>3.9197580323113845</v>
      </c>
      <c r="AJ50" s="29">
        <f>Q$26*Bulkheads!$U35+($C$1-Bulkheads!$U35)</f>
        <v>4.3856085130263738</v>
      </c>
      <c r="AK50" s="29">
        <f>R$26*Bulkheads!$U35+($C$1-Bulkheads!$U35)</f>
        <v>4.8514589937413639</v>
      </c>
      <c r="AL50" s="29">
        <f>(AM50+AK50)/2</f>
        <v>5.9220016765562438</v>
      </c>
      <c r="AM50" s="29">
        <f>(AO50+AK50)/2</f>
        <v>6.9925443593711227</v>
      </c>
      <c r="AN50" s="29">
        <f>(AO50+AM50)/2</f>
        <v>8.0630870421860017</v>
      </c>
      <c r="AO50" s="29">
        <f>(_xll.Spline('Profile Calcs'!$G$45:$G$65,'Profile Calcs'!$H$45:$H$65,Bulkheads!C35,TRUE))</f>
        <v>9.1336297250008815</v>
      </c>
      <c r="AR50" s="29">
        <f>-(-4*AM53+3*AK53+AO53)*(AO50-AK50)*Bulkheads!U35/Bulkheads!T35</f>
        <v>1.5405299209934484</v>
      </c>
      <c r="AS50" s="29">
        <f>-(-4*AM53+3*AK53+AO53)/(AO50-AK50)</f>
        <v>0.11511161709049346</v>
      </c>
      <c r="AT50" s="29">
        <f>DEGREES(ATAN((AM53-AK53)/(AM50-AK50)))</f>
        <v>7.3023875348029348</v>
      </c>
      <c r="AU50" s="28">
        <f>((AX54-AX53)/AX54)/(AY54/Bulkheads!$U$35)</f>
        <v>8.4012165716453299E-2</v>
      </c>
      <c r="AV50" s="29">
        <f>AL50/COS(AT50*PI()/180)</f>
        <v>5.9704269323307759</v>
      </c>
      <c r="AW50" s="28">
        <f>AV50*SIN(AT50*PI()/180)</f>
        <v>0.75887673384135057</v>
      </c>
      <c r="AX50" s="29">
        <f>AL53-AW50</f>
        <v>5.7543122991540923</v>
      </c>
      <c r="AY50" s="28">
        <v>0</v>
      </c>
    </row>
    <row r="51" spans="1:51" x14ac:dyDescent="0.2">
      <c r="A51" s="28">
        <v>16</v>
      </c>
      <c r="B51" s="28" t="s">
        <v>104</v>
      </c>
      <c r="C51" s="29">
        <f>W$3+W$4*Bulkheads!$I35+W$5*Bulkheads!$J35+W$6*Bulkheads!$K35</f>
        <v>0</v>
      </c>
      <c r="D51" s="29">
        <f>X$3+X$4*Bulkheads!$I35+X$5*Bulkheads!$J35+X$6*Bulkheads!$K35</f>
        <v>3.1503843275576572E-2</v>
      </c>
      <c r="E51" s="29">
        <f>Y$3+Y$4*Bulkheads!$I35+Y$5*Bulkheads!$J35+Y$6*Bulkheads!$K35</f>
        <v>9.2722690407352967E-2</v>
      </c>
      <c r="F51" s="29">
        <f>Z$3+Z$4*Bulkheads!$I35+Z$5*Bulkheads!$J35+Z$6*Bulkheads!$K35</f>
        <v>0.15157609309972991</v>
      </c>
      <c r="G51" s="29">
        <f>AA$3+AA$4*Bulkheads!$I35+AA$5*Bulkheads!$J35+AA$6*Bulkheads!$K35</f>
        <v>0.20808887230106288</v>
      </c>
      <c r="H51" s="29">
        <f>AB$3+AB$4*Bulkheads!$I35+AB$5*Bulkheads!$J35+AB$6*Bulkheads!$K35</f>
        <v>0.28852707439490927</v>
      </c>
      <c r="I51" s="29">
        <f>AC$3+AC$4*Bulkheads!$I35+AC$5*Bulkheads!$J35+AC$6*Bulkheads!$K35</f>
        <v>0.41127862134833704</v>
      </c>
      <c r="J51" s="29">
        <f>AD$3+AD$4*Bulkheads!$I35+AD$5*Bulkheads!$J35+AD$6*Bulkheads!$K35</f>
        <v>0.5203104830581643</v>
      </c>
      <c r="K51" s="29">
        <f>AE$3+AE$4*Bulkheads!$I35+AE$5*Bulkheads!$J35+AE$6*Bulkheads!$K35</f>
        <v>0.69940450531637877</v>
      </c>
      <c r="L51" s="29">
        <f>AF$3+AF$4*Bulkheads!$I35+AF$5*Bulkheads!$J35+AF$6*Bulkheads!$K35</f>
        <v>0.83072856666179384</v>
      </c>
      <c r="M51" s="29">
        <f>AG$3+AG$4*Bulkheads!$I35+AG$5*Bulkheads!$J35+AG$6*Bulkheads!$K35</f>
        <v>0.92006723875227669</v>
      </c>
      <c r="N51" s="29">
        <f>AH$3+AH$4*Bulkheads!$I35+AH$5*Bulkheads!$J35+AH$6*Bulkheads!$K35</f>
        <v>0.97407023941132309</v>
      </c>
      <c r="O51" s="29">
        <f>AI$3+AI$4*Bulkheads!$I35+AI$5*Bulkheads!$J35+AI$6*Bulkheads!$K35</f>
        <v>1.0002524326280553</v>
      </c>
      <c r="P51" s="29">
        <f>AJ$3+AJ$4*Bulkheads!$I35+AJ$5*Bulkheads!$J35+AJ$6*Bulkheads!$K35</f>
        <v>1.0069938285572235</v>
      </c>
      <c r="Q51" s="29">
        <f>AK$3+AK$4*Bulkheads!$I35+AK$5*Bulkheads!$J35+AK$6*Bulkheads!$K35</f>
        <v>1.0035395835191989</v>
      </c>
      <c r="R51" s="29">
        <v>1</v>
      </c>
      <c r="S51" s="29">
        <f>AM$3+AM$4*Bulkheads!$I35+AM$5*Bulkheads!$J35+AM$6*Bulkheads!$K35</f>
        <v>1.0073505266512421</v>
      </c>
      <c r="T51" s="29">
        <f>AN$3+AN$4*Bulkheads!$I35+AN$5*Bulkheads!$J35+AN$6*Bulkheads!$K35</f>
        <v>1.0374317582901993</v>
      </c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R51" s="29"/>
      <c r="AS51" s="29"/>
      <c r="AT51" s="29"/>
      <c r="AX51" s="29">
        <f>AL53</f>
        <v>6.5131890329954425</v>
      </c>
      <c r="AY51" s="29">
        <f>AL50</f>
        <v>5.9220016765562438</v>
      </c>
    </row>
    <row r="52" spans="1:51" x14ac:dyDescent="0.2">
      <c r="B52" s="28" t="s">
        <v>103</v>
      </c>
      <c r="C52" s="29">
        <f>Bulkheads!$R35*C$13+Bulkheads!$Q35-Bulkheads!$O35/(C$13+Bulkheads!$P35)</f>
        <v>0</v>
      </c>
      <c r="D52" s="29">
        <f>Bulkheads!$R35*D$13+Bulkheads!$Q35-Bulkheads!$O35/(D$13+Bulkheads!$P35)</f>
        <v>4.3495598314061468E-2</v>
      </c>
      <c r="E52" s="29">
        <f>Bulkheads!$R35*E$13+Bulkheads!$Q35-Bulkheads!$O35/(E$13+Bulkheads!$P35)</f>
        <v>0.12393364735257006</v>
      </c>
      <c r="F52" s="29">
        <f>Bulkheads!$R35*F$13+Bulkheads!$Q35-Bulkheads!$O35/(F$13+Bulkheads!$P35)</f>
        <v>0.19659359701908219</v>
      </c>
      <c r="G52" s="29">
        <f>Bulkheads!$R35*G$13+Bulkheads!$Q35-Bulkheads!$O35/(G$13+Bulkheads!$P35)</f>
        <v>0.26245722127772653</v>
      </c>
      <c r="H52" s="29">
        <f>Bulkheads!$R35*H$13+Bulkheads!$Q35-Bulkheads!$O35/(H$13+Bulkheads!$P35)</f>
        <v>0.35027469689554325</v>
      </c>
      <c r="I52" s="29">
        <f>Bulkheads!$R35*I$13+Bulkheads!$Q35-Bulkheads!$O35/(I$13+Bulkheads!$P35)</f>
        <v>0.47263396860055473</v>
      </c>
      <c r="J52" s="29">
        <f>Bulkheads!$R35*J$13+Bulkheads!$Q35-Bulkheads!$O35/(J$13+Bulkheads!$P35)</f>
        <v>0.57143266848226926</v>
      </c>
      <c r="K52" s="29">
        <f>Bulkheads!$R35*K$13+Bulkheads!$Q35-Bulkheads!$O35/(K$13+Bulkheads!$P35)</f>
        <v>0.71838996197004712</v>
      </c>
      <c r="L52" s="29">
        <f>Bulkheads!$R35*L$13+Bulkheads!$Q35-Bulkheads!$O35/(L$13+Bulkheads!$P35)</f>
        <v>0.81878699660176923</v>
      </c>
      <c r="M52" s="29">
        <f>Bulkheads!$R35*M$13+Bulkheads!$Q35-Bulkheads!$O35/(M$13+Bulkheads!$P35)</f>
        <v>0.88805215061583809</v>
      </c>
      <c r="N52" s="29">
        <f>Bulkheads!$R35*N$13+Bulkheads!$Q35-Bulkheads!$O35/(N$13+Bulkheads!$P35)</f>
        <v>0.93547529017213749</v>
      </c>
      <c r="O52" s="29">
        <f>Bulkheads!$R35*O$13+Bulkheads!$Q35-Bulkheads!$O35/(O$13+Bulkheads!$P35)</f>
        <v>0.96698449786678919</v>
      </c>
      <c r="P52" s="29">
        <f>Bulkheads!$R35*P$13+Bulkheads!$Q35-Bulkheads!$O35/(P$13+Bulkheads!$P35)</f>
        <v>0.98654059896600343</v>
      </c>
      <c r="Q52" s="29">
        <f>Bulkheads!$R35*Q$13+Bulkheads!$Q35-Bulkheads!$O35/(Q$13+Bulkheads!$P35)</f>
        <v>0.9968906979202028</v>
      </c>
      <c r="R52" s="29">
        <v>1</v>
      </c>
      <c r="S52" s="29">
        <f>Bulkheads!$R35*S$13+Bulkheads!$Q35-Bulkheads!$O35/(S$13+Bulkheads!$P35)</f>
        <v>0.99731151811987351</v>
      </c>
      <c r="T52" s="29">
        <f>Bulkheads!$R35*T$13+Bulkheads!$Q35-Bulkheads!$O35/(T$13+Bulkheads!$P35)</f>
        <v>0.98990871414776604</v>
      </c>
      <c r="U52" s="36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R52" s="29"/>
      <c r="AS52" s="29"/>
      <c r="AT52" s="29"/>
      <c r="AV52" s="38"/>
      <c r="AW52" s="38"/>
      <c r="AX52" s="38"/>
      <c r="AY52" s="38"/>
    </row>
    <row r="53" spans="1:51" x14ac:dyDescent="0.2">
      <c r="C53" s="29">
        <f>IF(Bulkheads!$E35&lt;0.72,C51,C52)</f>
        <v>0</v>
      </c>
      <c r="D53" s="29">
        <f>IF(Bulkheads!$E35&lt;0.72,D51,D52)</f>
        <v>4.3495598314061468E-2</v>
      </c>
      <c r="E53" s="29">
        <f>IF(Bulkheads!$E35&lt;0.72,E51,E52)</f>
        <v>0.12393364735257006</v>
      </c>
      <c r="F53" s="29">
        <f>IF(Bulkheads!$E35&lt;0.72,F51,F52)</f>
        <v>0.19659359701908219</v>
      </c>
      <c r="G53" s="29">
        <f>IF(Bulkheads!$E35&lt;0.72,G51,G52)</f>
        <v>0.26245722127772653</v>
      </c>
      <c r="H53" s="29">
        <f>IF(Bulkheads!$E35&lt;0.72,H51,H52)</f>
        <v>0.35027469689554325</v>
      </c>
      <c r="I53" s="29">
        <f>IF(Bulkheads!$E35&lt;0.72,I51,I52)</f>
        <v>0.47263396860055473</v>
      </c>
      <c r="J53" s="29">
        <f>IF(Bulkheads!$E35&lt;0.72,J51,J52)</f>
        <v>0.57143266848226926</v>
      </c>
      <c r="K53" s="29">
        <f>IF(Bulkheads!$E35&lt;0.72,K51,K52)</f>
        <v>0.71838996197004712</v>
      </c>
      <c r="L53" s="29">
        <f>IF(Bulkheads!$E35&lt;0.72,L51,L52)</f>
        <v>0.81878699660176923</v>
      </c>
      <c r="M53" s="29">
        <f>IF(Bulkheads!$E35&lt;0.72,M51,M52)</f>
        <v>0.88805215061583809</v>
      </c>
      <c r="N53" s="29">
        <f>IF(Bulkheads!$E35&lt;0.72,N51,N52)</f>
        <v>0.93547529017213749</v>
      </c>
      <c r="O53" s="29">
        <f>IF(Bulkheads!$E35&lt;0.72,O51,O52)</f>
        <v>0.96698449786678919</v>
      </c>
      <c r="P53" s="29">
        <f>IF(Bulkheads!$E35&lt;0.72,P51,P52)</f>
        <v>0.98654059896600343</v>
      </c>
      <c r="Q53" s="29">
        <f>IF(Bulkheads!$E35&lt;0.72,Q51,Q52)</f>
        <v>0.9968906979202028</v>
      </c>
      <c r="R53" s="29">
        <v>1</v>
      </c>
      <c r="S53" s="29">
        <f>IF(Bulkheads!$E35&lt;0.72,S51,S52)</f>
        <v>0.99731151811987351</v>
      </c>
      <c r="T53" s="29">
        <f>IF(Bulkheads!$E35&lt;0.72,T51,T52)</f>
        <v>0.98990871414776604</v>
      </c>
      <c r="U53" s="29"/>
      <c r="V53" s="29">
        <f>C53*Bulkheads!$T35</f>
        <v>0</v>
      </c>
      <c r="W53" s="29">
        <f>D53*Bulkheads!$T35</f>
        <v>0.27763155900363162</v>
      </c>
      <c r="X53" s="29">
        <f>E53*Bulkheads!$T35</f>
        <v>0.79106606326132034</v>
      </c>
      <c r="Y53" s="29">
        <f>F53*Bulkheads!$T35</f>
        <v>1.2548531103409242</v>
      </c>
      <c r="Z53" s="29">
        <f>G53*Bulkheads!$T35</f>
        <v>1.6752593443815147</v>
      </c>
      <c r="AA53" s="29">
        <f>H53*Bulkheads!$T35</f>
        <v>2.2357965851269967</v>
      </c>
      <c r="AB53" s="29">
        <f>I53*Bulkheads!$T35</f>
        <v>3.0168134392170129</v>
      </c>
      <c r="AC53" s="29">
        <f>J53*Bulkheads!$T35</f>
        <v>3.6474436210950887</v>
      </c>
      <c r="AD53" s="29">
        <f>K53*Bulkheads!$T35</f>
        <v>4.5854691703326997</v>
      </c>
      <c r="AE53" s="29">
        <f>L53*Bulkheads!$T35</f>
        <v>5.2263014918675337</v>
      </c>
      <c r="AF53" s="29">
        <f>M53*Bulkheads!$T35</f>
        <v>5.6684196242518796</v>
      </c>
      <c r="AG53" s="29">
        <f>N53*Bulkheads!$T35</f>
        <v>5.9711206027002159</v>
      </c>
      <c r="AH53" s="29">
        <f>O53*Bulkheads!$T35</f>
        <v>6.1722432632524518</v>
      </c>
      <c r="AI53" s="29">
        <f>P53*Bulkheads!$T35</f>
        <v>6.2970694766316626</v>
      </c>
      <c r="AJ53" s="29">
        <f>Q53*Bulkheads!$T35</f>
        <v>6.3631339571739902</v>
      </c>
      <c r="AK53" s="29">
        <f>R53*Bulkheads!$T35</f>
        <v>6.3829805719416335</v>
      </c>
      <c r="AL53" s="29">
        <f>(2*AO53+2*AK53-4*AM53)*0.25^2+(4*AM53-3*AK53-AO53)*0.25+AK53</f>
        <v>6.5131890329954425</v>
      </c>
      <c r="AM53" s="29">
        <f>_xll.Spline('Mid Upr WL Opt1 Calcs'!$O$24:$O$44,'Cxx Selected'!$I$77:$I$97,Bulkheads!C35,TRUE)</f>
        <v>6.6573506173904367</v>
      </c>
      <c r="AN53" s="29">
        <f>(2*AO53+2*AK53-4*AM53)*0.75^2+(4*AM53-3*AK53-AO53)*0.75+AK53</f>
        <v>6.8154653251266168</v>
      </c>
      <c r="AO53" s="29">
        <f>_xll.Spline('CWD Opt1 Calcs'!$J$26:$J$46,'Cxx Selected'!$I$52:$I$72,Bulkheads!C35,TRUE)</f>
        <v>6.9875331562039822</v>
      </c>
      <c r="AR53" s="29"/>
      <c r="AS53" s="29"/>
      <c r="AT53" s="29"/>
      <c r="AV53" s="38"/>
      <c r="AW53" s="38"/>
      <c r="AX53" s="36">
        <f>AK53-AS50*AK50</f>
        <v>5.8245212819238468</v>
      </c>
      <c r="AY53" s="38">
        <v>0</v>
      </c>
    </row>
    <row r="54" spans="1:51" x14ac:dyDescent="0.2"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>
        <f t="shared" ref="V54:AO54" si="15">-V53</f>
        <v>0</v>
      </c>
      <c r="W54" s="29">
        <f t="shared" si="15"/>
        <v>-0.27763155900363162</v>
      </c>
      <c r="X54" s="29">
        <f t="shared" si="15"/>
        <v>-0.79106606326132034</v>
      </c>
      <c r="Y54" s="29">
        <f t="shared" si="15"/>
        <v>-1.2548531103409242</v>
      </c>
      <c r="Z54" s="29">
        <f t="shared" si="15"/>
        <v>-1.6752593443815147</v>
      </c>
      <c r="AA54" s="29">
        <f t="shared" si="15"/>
        <v>-2.2357965851269967</v>
      </c>
      <c r="AB54" s="29">
        <f t="shared" si="15"/>
        <v>-3.0168134392170129</v>
      </c>
      <c r="AC54" s="29">
        <f t="shared" si="15"/>
        <v>-3.6474436210950887</v>
      </c>
      <c r="AD54" s="29">
        <f t="shared" si="15"/>
        <v>-4.5854691703326997</v>
      </c>
      <c r="AE54" s="29">
        <f t="shared" si="15"/>
        <v>-5.2263014918675337</v>
      </c>
      <c r="AF54" s="29">
        <f t="shared" si="15"/>
        <v>-5.6684196242518796</v>
      </c>
      <c r="AG54" s="29">
        <f t="shared" si="15"/>
        <v>-5.9711206027002159</v>
      </c>
      <c r="AH54" s="29">
        <f t="shared" si="15"/>
        <v>-6.1722432632524518</v>
      </c>
      <c r="AI54" s="29">
        <f t="shared" si="15"/>
        <v>-6.2970694766316626</v>
      </c>
      <c r="AJ54" s="29">
        <f t="shared" si="15"/>
        <v>-6.3631339571739902</v>
      </c>
      <c r="AK54" s="29">
        <f t="shared" si="15"/>
        <v>-6.3829805719416335</v>
      </c>
      <c r="AL54" s="29">
        <f>(2*AO54+2*AK54-4*AM54)*0.25^2+(4*AM54-3*AK54-AO54)*0.25+AK54</f>
        <v>-6.5131890329954425</v>
      </c>
      <c r="AM54" s="29">
        <f t="shared" si="15"/>
        <v>-6.6573506173904367</v>
      </c>
      <c r="AN54" s="29">
        <f>(2*AO54+2*AK54-4*AM54)*0.75^2+(4*AM54-3*AK54-AO54)*0.75+AK54</f>
        <v>-6.8154653251266168</v>
      </c>
      <c r="AO54" s="29">
        <f t="shared" si="15"/>
        <v>-6.9875331562039822</v>
      </c>
      <c r="AR54" s="29"/>
      <c r="AS54" s="29"/>
      <c r="AT54" s="29"/>
      <c r="AV54" s="38"/>
      <c r="AW54" s="38"/>
      <c r="AX54" s="36">
        <f>AK53</f>
        <v>6.3829805719416335</v>
      </c>
      <c r="AY54" s="36">
        <f>AK50</f>
        <v>4.8514589937413639</v>
      </c>
    </row>
    <row r="55" spans="1:51" x14ac:dyDescent="0.2"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R55" s="29"/>
      <c r="AS55" s="29"/>
      <c r="AT55" s="29"/>
    </row>
    <row r="56" spans="1:51" x14ac:dyDescent="0.2"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>
        <f>C$26*Bulkheads!$U36+($C$1-Bulkheads!$U36)</f>
        <v>1.1197446890085061E-2</v>
      </c>
      <c r="W56" s="29">
        <f>D$26*Bulkheads!$U36+($C$1-Bulkheads!$U36)</f>
        <v>5.9600062358597848E-2</v>
      </c>
      <c r="X56" s="29">
        <f>E$26*Bulkheads!$U36+($C$1-Bulkheads!$U36)</f>
        <v>0.15640529329562342</v>
      </c>
      <c r="Y56" s="29">
        <f>F$26*Bulkheads!$U36+($C$1-Bulkheads!$U36)</f>
        <v>0.253210524232649</v>
      </c>
      <c r="Z56" s="29">
        <f>G$26*Bulkheads!$U36+($C$1-Bulkheads!$U36)</f>
        <v>0.35001575516967459</v>
      </c>
      <c r="AA56" s="29">
        <f>H$26*Bulkheads!$U36+($C$1-Bulkheads!$U36)</f>
        <v>0.49522360157521295</v>
      </c>
      <c r="AB56" s="29">
        <f>I$26*Bulkheads!$U36+($C$1-Bulkheads!$U36)</f>
        <v>0.73723667891777689</v>
      </c>
      <c r="AC56" s="29">
        <f>J$26*Bulkheads!$U36+($C$1-Bulkheads!$U36)</f>
        <v>0.97924975626034083</v>
      </c>
      <c r="AD56" s="29">
        <f>K$26*Bulkheads!$U36+($C$1-Bulkheads!$U36)</f>
        <v>1.4632759109454687</v>
      </c>
      <c r="AE56" s="29">
        <f>L$26*Bulkheads!$U36+($C$1-Bulkheads!$U36)</f>
        <v>1.9473020656305966</v>
      </c>
      <c r="AF56" s="29">
        <f>M$26*Bulkheads!$U36+($C$1-Bulkheads!$U36)</f>
        <v>2.4313282203157245</v>
      </c>
      <c r="AG56" s="29">
        <f>N$26*Bulkheads!$U36+($C$1-Bulkheads!$U36)</f>
        <v>2.9153543750008524</v>
      </c>
      <c r="AH56" s="29">
        <f>O$26*Bulkheads!$U36+($C$1-Bulkheads!$U36)</f>
        <v>3.3993805296859803</v>
      </c>
      <c r="AI56" s="29">
        <f>P$26*Bulkheads!$U36+($C$1-Bulkheads!$U36)</f>
        <v>3.8834066843711081</v>
      </c>
      <c r="AJ56" s="29">
        <f>Q$26*Bulkheads!$U36+($C$1-Bulkheads!$U36)</f>
        <v>4.367432839056236</v>
      </c>
      <c r="AK56" s="29">
        <f>R$26*Bulkheads!$U36+($C$1-Bulkheads!$U36)</f>
        <v>4.8514589937413639</v>
      </c>
      <c r="AL56" s="29">
        <f>(AM56+AK56)/2</f>
        <v>5.9035327691977448</v>
      </c>
      <c r="AM56" s="29">
        <f>(AO56+AK56)/2</f>
        <v>6.9556065446541258</v>
      </c>
      <c r="AN56" s="29">
        <f>(AO56+AM56)/2</f>
        <v>8.0076803201105058</v>
      </c>
      <c r="AO56" s="29">
        <f>(_xll.Spline('Profile Calcs'!$G$45:$G$65,'Profile Calcs'!$H$45:$H$65,Bulkheads!C36,TRUE))</f>
        <v>9.0597540955668876</v>
      </c>
      <c r="AR56" s="29">
        <f>-(-4*AM59+3*AK59+AO59)*(AO56-AK56)*Bulkheads!U36/Bulkheads!T36</f>
        <v>0.45668382339457103</v>
      </c>
      <c r="AS56" s="29">
        <f>-(-4*AM59+3*AK59+AO59)/(AO56-AK56)</f>
        <v>3.6223123268303035E-2</v>
      </c>
      <c r="AT56" s="29">
        <f>DEGREES(ATAN((AM59-AK59)/(AM56-AK56)))</f>
        <v>3.3443751164962037</v>
      </c>
      <c r="AU56" s="28">
        <f>((AX60-AX59)/AX60)/(AY60/Bulkheads!$U$36)</f>
        <v>2.5787144574716439E-2</v>
      </c>
      <c r="AV56" s="29">
        <f>AL56/COS(AT56*PI()/180)</f>
        <v>5.9136040252285929</v>
      </c>
      <c r="AW56" s="28">
        <f>AV56*SIN(AT56*PI()/180)</f>
        <v>0.34498320279141809</v>
      </c>
      <c r="AX56" s="29">
        <f>AL59-AW56</f>
        <v>6.503911996337715</v>
      </c>
      <c r="AY56" s="28">
        <v>0</v>
      </c>
    </row>
    <row r="57" spans="1:51" x14ac:dyDescent="0.2">
      <c r="A57" s="28">
        <v>15</v>
      </c>
      <c r="B57" s="28" t="s">
        <v>104</v>
      </c>
      <c r="C57" s="29">
        <f>W$3+W$4*Bulkheads!$I36+W$5*Bulkheads!$J36+W$6*Bulkheads!$K36</f>
        <v>0</v>
      </c>
      <c r="D57" s="29">
        <f>X$3+X$4*Bulkheads!$I36+X$5*Bulkheads!$J36+X$6*Bulkheads!$K36</f>
        <v>4.1445654238110051E-2</v>
      </c>
      <c r="E57" s="29">
        <f>Y$3+Y$4*Bulkheads!$I36+Y$5*Bulkheads!$J36+Y$6*Bulkheads!$K36</f>
        <v>0.12030132051699473</v>
      </c>
      <c r="F57" s="29">
        <f>Z$3+Z$4*Bulkheads!$I36+Z$5*Bulkheads!$J36+Z$6*Bulkheads!$K36</f>
        <v>0.19397975512861571</v>
      </c>
      <c r="G57" s="29">
        <f>AA$3+AA$4*Bulkheads!$I36+AA$5*Bulkheads!$J36+AA$6*Bulkheads!$K36</f>
        <v>0.26272024605762606</v>
      </c>
      <c r="H57" s="29">
        <f>AB$3+AB$4*Bulkheads!$I36+AB$5*Bulkheads!$J36+AB$6*Bulkheads!$K36</f>
        <v>0.35708154495851663</v>
      </c>
      <c r="I57" s="29">
        <f>AC$3+AC$4*Bulkheads!$I36+AC$5*Bulkheads!$J36+AC$6*Bulkheads!$K36</f>
        <v>0.49288607142592622</v>
      </c>
      <c r="J57" s="29">
        <f>AD$3+AD$4*Bulkheads!$I36+AD$5*Bulkheads!$J36+AD$6*Bulkheads!$K36</f>
        <v>0.60474807528995589</v>
      </c>
      <c r="K57" s="29">
        <f>AE$3+AE$4*Bulkheads!$I36+AE$5*Bulkheads!$J36+AE$6*Bulkheads!$K36</f>
        <v>0.76893367235875409</v>
      </c>
      <c r="L57" s="29">
        <f>AF$3+AF$4*Bulkheads!$I36+AF$5*Bulkheads!$J36+AF$6*Bulkheads!$K36</f>
        <v>0.87195703869554242</v>
      </c>
      <c r="M57" s="29">
        <f>AG$3+AG$4*Bulkheads!$I36+AG$5*Bulkheads!$J36+AG$6*Bulkheads!$K36</f>
        <v>0.93252149799714679</v>
      </c>
      <c r="N57" s="29">
        <f>AH$3+AH$4*Bulkheads!$I36+AH$5*Bulkheads!$J36+AH$6*Bulkheads!$K36</f>
        <v>0.9657149951265892</v>
      </c>
      <c r="O57" s="29">
        <f>AI$3+AI$4*Bulkheads!$I36+AI$5*Bulkheads!$J36+AI$6*Bulkheads!$K36</f>
        <v>0.98301009611308598</v>
      </c>
      <c r="P57" s="29">
        <f>AJ$3+AJ$4*Bulkheads!$I36+AJ$5*Bulkheads!$J36+AJ$6*Bulkheads!$K36</f>
        <v>0.99226398815204975</v>
      </c>
      <c r="Q57" s="29">
        <f>AK$3+AK$4*Bulkheads!$I36+AK$5*Bulkheads!$J36+AK$6*Bulkheads!$K36</f>
        <v>0.99771847960508164</v>
      </c>
      <c r="R57" s="29">
        <v>1</v>
      </c>
      <c r="S57" s="29">
        <f>AM$3+AM$4*Bulkheads!$I36+AM$5*Bulkheads!$J36+AM$6*Bulkheads!$K36</f>
        <v>0.99611960003078481</v>
      </c>
      <c r="T57" s="29">
        <f>AN$3+AN$4*Bulkheads!$I36+AN$5*Bulkheads!$J36+AN$6*Bulkheads!$K36</f>
        <v>0.97947295155764469</v>
      </c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R57" s="29"/>
      <c r="AS57" s="29"/>
      <c r="AT57" s="29"/>
      <c r="AX57" s="29">
        <f>AL59</f>
        <v>6.8488951991291334</v>
      </c>
      <c r="AY57" s="29">
        <f>AL56</f>
        <v>5.9035327691977448</v>
      </c>
    </row>
    <row r="58" spans="1:51" x14ac:dyDescent="0.2">
      <c r="B58" s="28" t="s">
        <v>103</v>
      </c>
      <c r="C58" s="29">
        <f>Bulkheads!$R36*C$13+Bulkheads!$Q36-Bulkheads!$O36/(C$13+Bulkheads!$P36)</f>
        <v>0</v>
      </c>
      <c r="D58" s="29">
        <f>Bulkheads!$R36*D$13+Bulkheads!$Q36-Bulkheads!$O36/(D$13+Bulkheads!$P36)</f>
        <v>5.3557613555107242E-2</v>
      </c>
      <c r="E58" s="29">
        <f>Bulkheads!$R36*E$13+Bulkheads!$Q36-Bulkheads!$O36/(E$13+Bulkheads!$P36)</f>
        <v>0.14980456808625786</v>
      </c>
      <c r="F58" s="29">
        <f>Bulkheads!$R36*F$13+Bulkheads!$Q36-Bulkheads!$O36/(F$13+Bulkheads!$P36)</f>
        <v>0.23374816707249368</v>
      </c>
      <c r="G58" s="29">
        <f>Bulkheads!$R36*G$13+Bulkheads!$Q36-Bulkheads!$O36/(G$13+Bulkheads!$P36)</f>
        <v>0.3074903677878984</v>
      </c>
      <c r="H58" s="29">
        <f>Bulkheads!$R36*H$13+Bulkheads!$Q36-Bulkheads!$O36/(H$13+Bulkheads!$P36)</f>
        <v>0.40248849110319118</v>
      </c>
      <c r="I58" s="29">
        <f>Bulkheads!$R36*I$13+Bulkheads!$Q36-Bulkheads!$O36/(I$13+Bulkheads!$P36)</f>
        <v>0.52883516892588878</v>
      </c>
      <c r="J58" s="29">
        <f>Bulkheads!$R36*J$13+Bulkheads!$Q36-Bulkheads!$O36/(J$13+Bulkheads!$P36)</f>
        <v>0.62600325673947932</v>
      </c>
      <c r="K58" s="29">
        <f>Bulkheads!$R36*K$13+Bulkheads!$Q36-Bulkheads!$O36/(K$13+Bulkheads!$P36)</f>
        <v>0.76292623783452151</v>
      </c>
      <c r="L58" s="29">
        <f>Bulkheads!$R36*L$13+Bulkheads!$Q36-Bulkheads!$O36/(L$13+Bulkheads!$P36)</f>
        <v>0.85139255673503322</v>
      </c>
      <c r="M58" s="29">
        <f>Bulkheads!$R36*M$13+Bulkheads!$Q36-Bulkheads!$O36/(M$13+Bulkheads!$P36)</f>
        <v>0.91001083136841887</v>
      </c>
      <c r="N58" s="29">
        <f>Bulkheads!$R36*N$13+Bulkheads!$Q36-Bulkheads!$O36/(N$13+Bulkheads!$P36)</f>
        <v>0.94894270788303314</v>
      </c>
      <c r="O58" s="29">
        <f>Bulkheads!$R36*O$13+Bulkheads!$Q36-Bulkheads!$O36/(O$13+Bulkheads!$P36)</f>
        <v>0.97420728207429896</v>
      </c>
      <c r="P58" s="29">
        <f>Bulkheads!$R36*P$13+Bulkheads!$Q36-Bulkheads!$O36/(P$13+Bulkheads!$P36)</f>
        <v>0.9895968233038166</v>
      </c>
      <c r="Q58" s="29">
        <f>Bulkheads!$R36*Q$13+Bulkheads!$Q36-Bulkheads!$O36/(Q$13+Bulkheads!$P36)</f>
        <v>0.99761938873520206</v>
      </c>
      <c r="R58" s="29">
        <v>1</v>
      </c>
      <c r="S58" s="29">
        <f>Bulkheads!$R36*S$13+Bulkheads!$Q36-Bulkheads!$O36/(S$13+Bulkheads!$P36)</f>
        <v>0.99796410582694151</v>
      </c>
      <c r="T58" s="29">
        <f>Bulkheads!$R36*T$13+Bulkheads!$Q36-Bulkheads!$O36/(T$13+Bulkheads!$P36)</f>
        <v>0.9924062202661883</v>
      </c>
      <c r="U58" s="36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R58" s="29"/>
      <c r="AS58" s="29"/>
      <c r="AT58" s="29"/>
      <c r="AV58" s="38"/>
      <c r="AW58" s="38"/>
      <c r="AX58" s="38"/>
      <c r="AY58" s="38"/>
    </row>
    <row r="59" spans="1:51" x14ac:dyDescent="0.2">
      <c r="C59" s="29">
        <f>IF(Bulkheads!$E36&lt;0.72,C57,C58)</f>
        <v>0</v>
      </c>
      <c r="D59" s="29">
        <f>IF(Bulkheads!$E36&lt;0.72,D57,D58)</f>
        <v>5.3557613555107242E-2</v>
      </c>
      <c r="E59" s="29">
        <f>IF(Bulkheads!$E36&lt;0.72,E57,E58)</f>
        <v>0.14980456808625786</v>
      </c>
      <c r="F59" s="29">
        <f>IF(Bulkheads!$E36&lt;0.72,F57,F58)</f>
        <v>0.23374816707249368</v>
      </c>
      <c r="G59" s="29">
        <f>IF(Bulkheads!$E36&lt;0.72,G57,G58)</f>
        <v>0.3074903677878984</v>
      </c>
      <c r="H59" s="29">
        <f>IF(Bulkheads!$E36&lt;0.72,H57,H58)</f>
        <v>0.40248849110319118</v>
      </c>
      <c r="I59" s="29">
        <f>IF(Bulkheads!$E36&lt;0.72,I57,I58)</f>
        <v>0.52883516892588878</v>
      </c>
      <c r="J59" s="29">
        <f>IF(Bulkheads!$E36&lt;0.72,J57,J58)</f>
        <v>0.62600325673947932</v>
      </c>
      <c r="K59" s="29">
        <f>IF(Bulkheads!$E36&lt;0.72,K57,K58)</f>
        <v>0.76292623783452151</v>
      </c>
      <c r="L59" s="29">
        <f>IF(Bulkheads!$E36&lt;0.72,L57,L58)</f>
        <v>0.85139255673503322</v>
      </c>
      <c r="M59" s="29">
        <f>IF(Bulkheads!$E36&lt;0.72,M57,M58)</f>
        <v>0.91001083136841887</v>
      </c>
      <c r="N59" s="29">
        <f>IF(Bulkheads!$E36&lt;0.72,N57,N58)</f>
        <v>0.94894270788303314</v>
      </c>
      <c r="O59" s="29">
        <f>IF(Bulkheads!$E36&lt;0.72,O57,O58)</f>
        <v>0.97420728207429896</v>
      </c>
      <c r="P59" s="29">
        <f>IF(Bulkheads!$E36&lt;0.72,P57,P58)</f>
        <v>0.9895968233038166</v>
      </c>
      <c r="Q59" s="29">
        <f>IF(Bulkheads!$E36&lt;0.72,Q57,Q58)</f>
        <v>0.99761938873520206</v>
      </c>
      <c r="R59" s="29">
        <v>1</v>
      </c>
      <c r="S59" s="29">
        <f>IF(Bulkheads!$E36&lt;0.72,S57,S58)</f>
        <v>0.99796410582694151</v>
      </c>
      <c r="T59" s="29">
        <f>IF(Bulkheads!$E36&lt;0.72,T57,T58)</f>
        <v>0.9924062202661883</v>
      </c>
      <c r="U59" s="29"/>
      <c r="V59" s="29">
        <f>C59*Bulkheads!$T36</f>
        <v>0</v>
      </c>
      <c r="W59" s="29">
        <f>D59*Bulkheads!$T36</f>
        <v>0.36414360352084924</v>
      </c>
      <c r="X59" s="29">
        <f>E59*Bulkheads!$T36</f>
        <v>1.0185363317334073</v>
      </c>
      <c r="Y59" s="29">
        <f>F59*Bulkheads!$T36</f>
        <v>1.5892773076341551</v>
      </c>
      <c r="Z59" s="29">
        <f>G59*Bulkheads!$T36</f>
        <v>2.0906579502282376</v>
      </c>
      <c r="AA59" s="29">
        <f>H59*Bulkheads!$T36</f>
        <v>2.736559749346954</v>
      </c>
      <c r="AB59" s="29">
        <f>I59*Bulkheads!$T36</f>
        <v>3.5956035248487384</v>
      </c>
      <c r="AC59" s="29">
        <f>J59*Bulkheads!$T36</f>
        <v>4.256259130932909</v>
      </c>
      <c r="AD59" s="29">
        <f>K59*Bulkheads!$T36</f>
        <v>5.1872122565695378</v>
      </c>
      <c r="AE59" s="29">
        <f>L59*Bulkheads!$T36</f>
        <v>5.7887036602429003</v>
      </c>
      <c r="AF59" s="29">
        <f>M59*Bulkheads!$T36</f>
        <v>6.1872552076379828</v>
      </c>
      <c r="AG59" s="29">
        <f>N59*Bulkheads!$T36</f>
        <v>6.45195695338088</v>
      </c>
      <c r="AH59" s="29">
        <f>O59*Bulkheads!$T36</f>
        <v>6.6237333354252605</v>
      </c>
      <c r="AI59" s="29">
        <f>P59*Bulkheads!$T36</f>
        <v>6.7283683747382632</v>
      </c>
      <c r="AJ59" s="29">
        <f>Q59*Bulkheads!$T36</f>
        <v>6.7829146043356774</v>
      </c>
      <c r="AK59" s="29">
        <f>R59*Bulkheads!$T36</f>
        <v>6.7991006198618154</v>
      </c>
      <c r="AL59" s="29">
        <f>(2*AO59+2*AK59-4*AM59)*0.25^2+(4*AM59-3*AK59-AO59)*0.25+AK59</f>
        <v>6.8488951991291334</v>
      </c>
      <c r="AM59" s="29">
        <f>_xll.Spline('Mid Upr WL Opt1 Calcs'!$O$24:$O$44,'Cxx Selected'!$I$77:$I$97,Bulkheads!C36,TRUE)</f>
        <v>6.9220601408196787</v>
      </c>
      <c r="AN59" s="29">
        <f>(2*AO59+2*AK59-4*AM59)*0.75^2+(4*AM59-3*AK59-AO59)*0.75+AK59</f>
        <v>7.0185954449334487</v>
      </c>
      <c r="AO59" s="29">
        <f>_xll.Spline('CWD Opt1 Calcs'!$J$26:$J$46,'Cxx Selected'!$I$52:$I$72,Bulkheads!C36,TRUE)</f>
        <v>7.138501111470446</v>
      </c>
      <c r="AR59" s="29"/>
      <c r="AS59" s="29"/>
      <c r="AT59" s="29"/>
      <c r="AV59" s="38"/>
      <c r="AW59" s="38"/>
      <c r="AX59" s="36">
        <f>AK59-AS56*AK56</f>
        <v>6.6233656227004047</v>
      </c>
      <c r="AY59" s="38">
        <v>0</v>
      </c>
    </row>
    <row r="60" spans="1:51" x14ac:dyDescent="0.2"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>
        <f t="shared" ref="V60:AO60" si="16">-V59</f>
        <v>0</v>
      </c>
      <c r="W60" s="29">
        <f t="shared" si="16"/>
        <v>-0.36414360352084924</v>
      </c>
      <c r="X60" s="29">
        <f t="shared" si="16"/>
        <v>-1.0185363317334073</v>
      </c>
      <c r="Y60" s="29">
        <f t="shared" si="16"/>
        <v>-1.5892773076341551</v>
      </c>
      <c r="Z60" s="29">
        <f t="shared" si="16"/>
        <v>-2.0906579502282376</v>
      </c>
      <c r="AA60" s="29">
        <f t="shared" si="16"/>
        <v>-2.736559749346954</v>
      </c>
      <c r="AB60" s="29">
        <f t="shared" si="16"/>
        <v>-3.5956035248487384</v>
      </c>
      <c r="AC60" s="29">
        <f t="shared" si="16"/>
        <v>-4.256259130932909</v>
      </c>
      <c r="AD60" s="29">
        <f t="shared" si="16"/>
        <v>-5.1872122565695378</v>
      </c>
      <c r="AE60" s="29">
        <f t="shared" si="16"/>
        <v>-5.7887036602429003</v>
      </c>
      <c r="AF60" s="29">
        <f t="shared" si="16"/>
        <v>-6.1872552076379828</v>
      </c>
      <c r="AG60" s="29">
        <f t="shared" si="16"/>
        <v>-6.45195695338088</v>
      </c>
      <c r="AH60" s="29">
        <f t="shared" si="16"/>
        <v>-6.6237333354252605</v>
      </c>
      <c r="AI60" s="29">
        <f t="shared" si="16"/>
        <v>-6.7283683747382632</v>
      </c>
      <c r="AJ60" s="29">
        <f t="shared" si="16"/>
        <v>-6.7829146043356774</v>
      </c>
      <c r="AK60" s="29">
        <f t="shared" si="16"/>
        <v>-6.7991006198618154</v>
      </c>
      <c r="AL60" s="29">
        <f>(2*AO60+2*AK60-4*AM60)*0.25^2+(4*AM60-3*AK60-AO60)*0.25+AK60</f>
        <v>-6.8488951991291334</v>
      </c>
      <c r="AM60" s="29">
        <f t="shared" si="16"/>
        <v>-6.9220601408196787</v>
      </c>
      <c r="AN60" s="29">
        <f>(2*AO60+2*AK60-4*AM60)*0.75^2+(4*AM60-3*AK60-AO60)*0.75+AK60</f>
        <v>-7.0185954449334487</v>
      </c>
      <c r="AO60" s="29">
        <f t="shared" si="16"/>
        <v>-7.138501111470446</v>
      </c>
      <c r="AR60" s="29"/>
      <c r="AS60" s="29"/>
      <c r="AT60" s="29"/>
      <c r="AV60" s="38"/>
      <c r="AW60" s="38"/>
      <c r="AX60" s="36">
        <f>AK59</f>
        <v>6.7991006198618154</v>
      </c>
      <c r="AY60" s="36">
        <f>AK56</f>
        <v>4.8514589937413639</v>
      </c>
    </row>
    <row r="61" spans="1:51" x14ac:dyDescent="0.2"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R61" s="29"/>
      <c r="AS61" s="29"/>
      <c r="AT61" s="29"/>
    </row>
    <row r="62" spans="1:51" x14ac:dyDescent="0.2"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>
        <f>C$26*Bulkheads!$U37+($C$1-Bulkheads!$U37)</f>
        <v>0</v>
      </c>
      <c r="W62" s="29">
        <f>D$26*Bulkheads!$U37+($C$1-Bulkheads!$U37)</f>
        <v>4.8514589937413644E-2</v>
      </c>
      <c r="X62" s="29">
        <f>E$26*Bulkheads!$U37+($C$1-Bulkheads!$U37)</f>
        <v>0.1455437698122409</v>
      </c>
      <c r="Y62" s="29">
        <f>F$26*Bulkheads!$U37+($C$1-Bulkheads!$U37)</f>
        <v>0.24257294968706822</v>
      </c>
      <c r="Z62" s="29">
        <f>G$26*Bulkheads!$U37+($C$1-Bulkheads!$U37)</f>
        <v>0.3396021295618955</v>
      </c>
      <c r="AA62" s="29">
        <f>H$26*Bulkheads!$U37+($C$1-Bulkheads!$U37)</f>
        <v>0.48514589937413644</v>
      </c>
      <c r="AB62" s="29">
        <f>I$26*Bulkheads!$U37+($C$1-Bulkheads!$U37)</f>
        <v>0.72771884906120454</v>
      </c>
      <c r="AC62" s="29">
        <f>J$26*Bulkheads!$U37+($C$1-Bulkheads!$U37)</f>
        <v>0.97029179874827287</v>
      </c>
      <c r="AD62" s="29">
        <f>K$26*Bulkheads!$U37+($C$1-Bulkheads!$U37)</f>
        <v>1.4554376981224091</v>
      </c>
      <c r="AE62" s="29">
        <f>L$26*Bulkheads!$U37+($C$1-Bulkheads!$U37)</f>
        <v>1.9405835974965457</v>
      </c>
      <c r="AF62" s="29">
        <f>M$26*Bulkheads!$U37+($C$1-Bulkheads!$U37)</f>
        <v>2.425729496870682</v>
      </c>
      <c r="AG62" s="29">
        <f>N$26*Bulkheads!$U37+($C$1-Bulkheads!$U37)</f>
        <v>2.9108753962448182</v>
      </c>
      <c r="AH62" s="29">
        <f>O$26*Bulkheads!$U37+($C$1-Bulkheads!$U37)</f>
        <v>3.3960212956189544</v>
      </c>
      <c r="AI62" s="29">
        <f>P$26*Bulkheads!$U37+($C$1-Bulkheads!$U37)</f>
        <v>3.8811671949930915</v>
      </c>
      <c r="AJ62" s="29">
        <f>Q$26*Bulkheads!$U37+($C$1-Bulkheads!$U37)</f>
        <v>4.3663130943672277</v>
      </c>
      <c r="AK62" s="29">
        <f>R$26*Bulkheads!$U37+($C$1-Bulkheads!$U37)</f>
        <v>4.8514589937413639</v>
      </c>
      <c r="AL62" s="29">
        <f>(AM62+AK62)/2</f>
        <v>5.8841751840859828</v>
      </c>
      <c r="AM62" s="29">
        <f>(AO62+AK62)/2</f>
        <v>6.9168913744306009</v>
      </c>
      <c r="AN62" s="29">
        <f>(AO62+AM62)/2</f>
        <v>7.9496075647752189</v>
      </c>
      <c r="AO62" s="29">
        <f>(_xll.Spline('Profile Calcs'!$G$45:$G$65,'Profile Calcs'!$H$45:$H$65,Bulkheads!C37,TRUE))</f>
        <v>8.9823237551198378</v>
      </c>
      <c r="AR62" s="29">
        <f>-(-4*AM65+3*AK65+AO65)*(AO62-AK62)*Bulkheads!U37/Bulkheads!T37</f>
        <v>-0.13894038705193795</v>
      </c>
      <c r="AS62" s="29">
        <f>-(-4*AM65+3*AK65+AO65)/(AO62-AK62)</f>
        <v>-1.1877702497552161E-2</v>
      </c>
      <c r="AT62" s="29">
        <f>DEGREES(ATAN((AM65-AK65)/(AM62-AK62)))</f>
        <v>0.10152994771398025</v>
      </c>
      <c r="AU62" s="28">
        <f>((AX66-AX65)/AX66)/(AY66/Bulkheads!$U$37)</f>
        <v>-8.1422896989446197E-3</v>
      </c>
      <c r="AV62" s="29">
        <f>AL62/COS(AT62*PI()/180)</f>
        <v>5.8841844225384126</v>
      </c>
      <c r="AW62" s="28">
        <f>AV62*SIN(AT62*PI()/180)</f>
        <v>1.0426956909861685E-2</v>
      </c>
      <c r="AX62" s="29">
        <f>AL65-AW62</f>
        <v>7.0615025735613051</v>
      </c>
      <c r="AY62" s="28">
        <v>0</v>
      </c>
    </row>
    <row r="63" spans="1:51" x14ac:dyDescent="0.2">
      <c r="A63" s="28">
        <v>14</v>
      </c>
      <c r="B63" s="28" t="s">
        <v>104</v>
      </c>
      <c r="C63" s="29">
        <f>W$3+W$4*Bulkheads!$I37+W$5*Bulkheads!$J37+W$6*Bulkheads!$K37</f>
        <v>0</v>
      </c>
      <c r="D63" s="29">
        <f>X$3+X$4*Bulkheads!$I37+X$5*Bulkheads!$J37+X$6*Bulkheads!$K37</f>
        <v>5.9131495632864788E-2</v>
      </c>
      <c r="E63" s="29">
        <f>Y$3+Y$4*Bulkheads!$I37+Y$5*Bulkheads!$J37+Y$6*Bulkheads!$K37</f>
        <v>0.1688526616284465</v>
      </c>
      <c r="F63" s="29">
        <f>Z$3+Z$4*Bulkheads!$I37+Z$5*Bulkheads!$J37+Z$6*Bulkheads!$K37</f>
        <v>0.26778459367093527</v>
      </c>
      <c r="G63" s="29">
        <f>AA$3+AA$4*Bulkheads!$I37+AA$5*Bulkheads!$J37+AA$6*Bulkheads!$K37</f>
        <v>0.3566279042918416</v>
      </c>
      <c r="H63" s="29">
        <f>AB$3+AB$4*Bulkheads!$I37+AB$5*Bulkheads!$J37+AB$6*Bulkheads!$K37</f>
        <v>0.47245521859130807</v>
      </c>
      <c r="I63" s="29">
        <f>AC$3+AC$4*Bulkheads!$I37+AC$5*Bulkheads!$J37+AC$6*Bulkheads!$K37</f>
        <v>0.62435809690925259</v>
      </c>
      <c r="J63" s="29">
        <f>AD$3+AD$4*Bulkheads!$I37+AD$5*Bulkheads!$J37+AD$6*Bulkheads!$K37</f>
        <v>0.73298109554902657</v>
      </c>
      <c r="K63" s="29">
        <f>AE$3+AE$4*Bulkheads!$I37+AE$5*Bulkheads!$J37+AE$6*Bulkheads!$K37</f>
        <v>0.85404714537170512</v>
      </c>
      <c r="L63" s="29">
        <f>AF$3+AF$4*Bulkheads!$I37+AF$5*Bulkheads!$J37+AF$6*Bulkheads!$K37</f>
        <v>0.89438919897585722</v>
      </c>
      <c r="M63" s="29">
        <f>AG$3+AG$4*Bulkheads!$I37+AG$5*Bulkheads!$J37+AG$6*Bulkheads!$K37</f>
        <v>0.89900940369596083</v>
      </c>
      <c r="N63" s="29">
        <f>AH$3+AH$4*Bulkheads!$I37+AH$5*Bulkheads!$J37+AH$6*Bulkheads!$K37</f>
        <v>0.89917622328445868</v>
      </c>
      <c r="O63" s="29">
        <f>AI$3+AI$4*Bulkheads!$I37+AI$5*Bulkheads!$J37+AI$6*Bulkheads!$K37</f>
        <v>0.91242443791175709</v>
      </c>
      <c r="P63" s="29">
        <f>AJ$3+AJ$4*Bulkheads!$I37+AJ$5*Bulkheads!$J37+AJ$6*Bulkheads!$K37</f>
        <v>0.94255514416622854</v>
      </c>
      <c r="Q63" s="29">
        <f>AK$3+AK$4*Bulkheads!$I37+AK$5*Bulkheads!$J37+AK$6*Bulkheads!$K37</f>
        <v>0.97963575505420442</v>
      </c>
      <c r="R63" s="29">
        <v>1</v>
      </c>
      <c r="S63" s="29">
        <f>AM$3+AM$4*Bulkheads!$I37+AM$5*Bulkheads!$J37+AM$6*Bulkheads!$K37</f>
        <v>0.96624792484586375</v>
      </c>
      <c r="T63" s="29">
        <f>AN$3+AN$4*Bulkheads!$I37+AN$5*Bulkheads!$J37+AN$6*Bulkheads!$K37</f>
        <v>0.82724589185204012</v>
      </c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R63" s="29"/>
      <c r="AS63" s="29"/>
      <c r="AT63" s="29"/>
      <c r="AX63" s="29">
        <f>AL65</f>
        <v>7.0719295304711665</v>
      </c>
      <c r="AY63" s="29">
        <f>AL62</f>
        <v>5.8841751840859828</v>
      </c>
    </row>
    <row r="64" spans="1:51" x14ac:dyDescent="0.2">
      <c r="B64" s="28" t="s">
        <v>103</v>
      </c>
      <c r="C64" s="29">
        <f>Bulkheads!$R37*C$13+Bulkheads!$Q37-Bulkheads!$O37/(C$13+Bulkheads!$P37)</f>
        <v>0</v>
      </c>
      <c r="D64" s="29">
        <f>Bulkheads!$R37*D$13+Bulkheads!$Q37-Bulkheads!$O37/(D$13+Bulkheads!$P37)</f>
        <v>6.1164391757327463E-2</v>
      </c>
      <c r="E64" s="29">
        <f>Bulkheads!$R37*E$13+Bulkheads!$Q37-Bulkheads!$O37/(E$13+Bulkheads!$P37)</f>
        <v>0.16862020551972279</v>
      </c>
      <c r="F64" s="29">
        <f>Bulkheads!$R37*F$13+Bulkheads!$Q37-Bulkheads!$O37/(F$13+Bulkheads!$P37)</f>
        <v>0.25984433430382281</v>
      </c>
      <c r="G64" s="29">
        <f>Bulkheads!$R37*G$13+Bulkheads!$Q37-Bulkheads!$O37/(G$13+Bulkheads!$P37)</f>
        <v>0.33813248051792133</v>
      </c>
      <c r="H64" s="29">
        <f>Bulkheads!$R37*H$13+Bulkheads!$Q37-Bulkheads!$O37/(H$13+Bulkheads!$P37)</f>
        <v>0.4365257522362711</v>
      </c>
      <c r="I64" s="29">
        <f>Bulkheads!$R37*I$13+Bulkheads!$Q37-Bulkheads!$O37/(I$13+Bulkheads!$P37)</f>
        <v>0.56326456113330692</v>
      </c>
      <c r="J64" s="29">
        <f>Bulkheads!$R37*J$13+Bulkheads!$Q37-Bulkheads!$O37/(J$13+Bulkheads!$P37)</f>
        <v>0.6576665870213334</v>
      </c>
      <c r="K64" s="29">
        <f>Bulkheads!$R37*K$13+Bulkheads!$Q37-Bulkheads!$O37/(K$13+Bulkheads!$P37)</f>
        <v>0.78638100172853231</v>
      </c>
      <c r="L64" s="29">
        <f>Bulkheads!$R37*L$13+Bulkheads!$Q37-Bulkheads!$O37/(L$13+Bulkheads!$P37)</f>
        <v>0.8669977622492604</v>
      </c>
      <c r="M64" s="29">
        <f>Bulkheads!$R37*M$13+Bulkheads!$Q37-Bulkheads!$O37/(M$13+Bulkheads!$P37)</f>
        <v>0.919405454804889</v>
      </c>
      <c r="N64" s="29">
        <f>Bulkheads!$R37*N$13+Bulkheads!$Q37-Bulkheads!$O37/(N$13+Bulkheads!$P37)</f>
        <v>0.95385562991278139</v>
      </c>
      <c r="O64" s="29">
        <f>Bulkheads!$R37*O$13+Bulkheads!$Q37-Bulkheads!$O37/(O$13+Bulkheads!$P37)</f>
        <v>0.97616916069953508</v>
      </c>
      <c r="P64" s="29">
        <f>Bulkheads!$R37*P$13+Bulkheads!$Q37-Bulkheads!$O37/(P$13+Bulkheads!$P37)</f>
        <v>0.98989648171736389</v>
      </c>
      <c r="Q64" s="29">
        <f>Bulkheads!$R37*Q$13+Bulkheads!$Q37-Bulkheads!$O37/(Q$13+Bulkheads!$P37)</f>
        <v>0.99732621875211991</v>
      </c>
      <c r="R64" s="29">
        <v>1</v>
      </c>
      <c r="S64" s="29">
        <f>Bulkheads!$R37*S$13+Bulkheads!$Q37-Bulkheads!$O37/(S$13+Bulkheads!$P37)</f>
        <v>0.99899423426157452</v>
      </c>
      <c r="T64" s="29">
        <f>Bulkheads!$R37*T$13+Bulkheads!$Q37-Bulkheads!$O37/(T$13+Bulkheads!$P37)</f>
        <v>0.99508328783145994</v>
      </c>
      <c r="U64" s="36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R64" s="29"/>
      <c r="AS64" s="29"/>
      <c r="AT64" s="29"/>
      <c r="AV64" s="38"/>
      <c r="AW64" s="38"/>
      <c r="AX64" s="38"/>
      <c r="AY64" s="38"/>
    </row>
    <row r="65" spans="1:51" x14ac:dyDescent="0.2">
      <c r="C65" s="29">
        <f>IF(Bulkheads!$E37&lt;0.72,C63,C64)</f>
        <v>0</v>
      </c>
      <c r="D65" s="29">
        <f>IF(Bulkheads!$E37&lt;0.72,D63,D64)</f>
        <v>6.1164391757327463E-2</v>
      </c>
      <c r="E65" s="29">
        <f>IF(Bulkheads!$E37&lt;0.72,E63,E64)</f>
        <v>0.16862020551972279</v>
      </c>
      <c r="F65" s="29">
        <f>IF(Bulkheads!$E37&lt;0.72,F63,F64)</f>
        <v>0.25984433430382281</v>
      </c>
      <c r="G65" s="29">
        <f>IF(Bulkheads!$E37&lt;0.72,G63,G64)</f>
        <v>0.33813248051792133</v>
      </c>
      <c r="H65" s="29">
        <f>IF(Bulkheads!$E37&lt;0.72,H63,H64)</f>
        <v>0.4365257522362711</v>
      </c>
      <c r="I65" s="29">
        <f>IF(Bulkheads!$E37&lt;0.72,I63,I64)</f>
        <v>0.56326456113330692</v>
      </c>
      <c r="J65" s="29">
        <f>IF(Bulkheads!$E37&lt;0.72,J63,J64)</f>
        <v>0.6576665870213334</v>
      </c>
      <c r="K65" s="29">
        <f>IF(Bulkheads!$E37&lt;0.72,K63,K64)</f>
        <v>0.78638100172853231</v>
      </c>
      <c r="L65" s="29">
        <f>IF(Bulkheads!$E37&lt;0.72,L63,L64)</f>
        <v>0.8669977622492604</v>
      </c>
      <c r="M65" s="29">
        <f>IF(Bulkheads!$E37&lt;0.72,M63,M64)</f>
        <v>0.919405454804889</v>
      </c>
      <c r="N65" s="29">
        <f>IF(Bulkheads!$E37&lt;0.72,N63,N64)</f>
        <v>0.95385562991278139</v>
      </c>
      <c r="O65" s="29">
        <f>IF(Bulkheads!$E37&lt;0.72,O63,O64)</f>
        <v>0.97616916069953508</v>
      </c>
      <c r="P65" s="29">
        <f>IF(Bulkheads!$E37&lt;0.72,P63,P64)</f>
        <v>0.98989648171736389</v>
      </c>
      <c r="Q65" s="29">
        <f>IF(Bulkheads!$E37&lt;0.72,Q63,Q64)</f>
        <v>0.99732621875211991</v>
      </c>
      <c r="R65" s="29">
        <v>1</v>
      </c>
      <c r="S65" s="29">
        <f>IF(Bulkheads!$E37&lt;0.72,S63,S64)</f>
        <v>0.99899423426157452</v>
      </c>
      <c r="T65" s="29">
        <f>IF(Bulkheads!$E37&lt;0.72,T63,T64)</f>
        <v>0.99508328783145994</v>
      </c>
      <c r="U65" s="29"/>
      <c r="V65" s="29">
        <f>C65*Bulkheads!$T37</f>
        <v>0</v>
      </c>
      <c r="W65" s="29">
        <f>D65*Bulkheads!$T37</f>
        <v>0.43286943287812751</v>
      </c>
      <c r="X65" s="29">
        <f>E65*Bulkheads!$T37</f>
        <v>1.1933500953415674</v>
      </c>
      <c r="Y65" s="29">
        <f>F65*Bulkheads!$T37</f>
        <v>1.838956726210156</v>
      </c>
      <c r="Z65" s="29">
        <f>G65*Bulkheads!$T37</f>
        <v>2.3930134981180844</v>
      </c>
      <c r="AA65" s="29">
        <f>H65*Bulkheads!$T37</f>
        <v>3.089357212230849</v>
      </c>
      <c r="AB65" s="29">
        <f>I65*Bulkheads!$T37</f>
        <v>3.9863064788658256</v>
      </c>
      <c r="AC65" s="29">
        <f>J65*Bulkheads!$T37</f>
        <v>4.6544035568327766</v>
      </c>
      <c r="AD65" s="29">
        <f>K65*Bulkheads!$T37</f>
        <v>5.5653344775325726</v>
      </c>
      <c r="AE65" s="29">
        <f>L65*Bulkheads!$T37</f>
        <v>6.1358711967651116</v>
      </c>
      <c r="AF65" s="29">
        <f>M65*Bulkheads!$T37</f>
        <v>6.5067681762529928</v>
      </c>
      <c r="AG65" s="29">
        <f>N65*Bulkheads!$T37</f>
        <v>6.7505771528986092</v>
      </c>
      <c r="AH65" s="29">
        <f>O65*Bulkheads!$T37</f>
        <v>6.9084933054125202</v>
      </c>
      <c r="AI65" s="29">
        <f>P65*Bulkheads!$T37</f>
        <v>7.0056435834288413</v>
      </c>
      <c r="AJ65" s="29">
        <f>Q65*Bulkheads!$T37</f>
        <v>7.0582249296053634</v>
      </c>
      <c r="AK65" s="29">
        <f>R65*Bulkheads!$T37</f>
        <v>7.0771476743455066</v>
      </c>
      <c r="AL65" s="29">
        <f>(2*AO65+2*AK65-4*AM65)*0.25^2+(4*AM65-3*AK65-AO65)*0.25+AK65</f>
        <v>7.0719295304711665</v>
      </c>
      <c r="AM65" s="29">
        <f>_xll.Spline('Mid Upr WL Opt1 Calcs'!$O$24:$O$44,'Cxx Selected'!$I$77:$I$97,Bulkheads!C37,TRUE)</f>
        <v>7.0808076901947841</v>
      </c>
      <c r="AN65" s="29">
        <f>(2*AO65+2*AK65-4*AM65)*0.75^2+(4*AM65-3*AK65-AO65)*0.75+AK65</f>
        <v>7.1037821535163603</v>
      </c>
      <c r="AO65" s="29">
        <f>_xll.Spline('CWD Opt1 Calcs'!$J$26:$J$46,'Cxx Selected'!$I$52:$I$72,Bulkheads!C37,TRUE)</f>
        <v>7.1408529204358926</v>
      </c>
      <c r="AR65" s="29"/>
      <c r="AS65" s="29"/>
      <c r="AT65" s="29"/>
      <c r="AV65" s="38"/>
      <c r="AW65" s="38"/>
      <c r="AX65" s="36">
        <f>AK65-AS62*AK62</f>
        <v>7.1347718609522399</v>
      </c>
      <c r="AY65" s="38">
        <v>0</v>
      </c>
    </row>
    <row r="66" spans="1:51" x14ac:dyDescent="0.2"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>
        <f t="shared" ref="V66:AO66" si="17">-V65</f>
        <v>0</v>
      </c>
      <c r="W66" s="29">
        <f t="shared" si="17"/>
        <v>-0.43286943287812751</v>
      </c>
      <c r="X66" s="29">
        <f t="shared" si="17"/>
        <v>-1.1933500953415674</v>
      </c>
      <c r="Y66" s="29">
        <f t="shared" si="17"/>
        <v>-1.838956726210156</v>
      </c>
      <c r="Z66" s="29">
        <f t="shared" si="17"/>
        <v>-2.3930134981180844</v>
      </c>
      <c r="AA66" s="29">
        <f t="shared" si="17"/>
        <v>-3.089357212230849</v>
      </c>
      <c r="AB66" s="29">
        <f t="shared" si="17"/>
        <v>-3.9863064788658256</v>
      </c>
      <c r="AC66" s="29">
        <f t="shared" si="17"/>
        <v>-4.6544035568327766</v>
      </c>
      <c r="AD66" s="29">
        <f t="shared" si="17"/>
        <v>-5.5653344775325726</v>
      </c>
      <c r="AE66" s="29">
        <f t="shared" si="17"/>
        <v>-6.1358711967651116</v>
      </c>
      <c r="AF66" s="29">
        <f t="shared" si="17"/>
        <v>-6.5067681762529928</v>
      </c>
      <c r="AG66" s="29">
        <f t="shared" si="17"/>
        <v>-6.7505771528986092</v>
      </c>
      <c r="AH66" s="29">
        <f t="shared" si="17"/>
        <v>-6.9084933054125202</v>
      </c>
      <c r="AI66" s="29">
        <f t="shared" si="17"/>
        <v>-7.0056435834288413</v>
      </c>
      <c r="AJ66" s="29">
        <f t="shared" si="17"/>
        <v>-7.0582249296053634</v>
      </c>
      <c r="AK66" s="29">
        <f t="shared" si="17"/>
        <v>-7.0771476743455066</v>
      </c>
      <c r="AL66" s="29">
        <f>(2*AO66+2*AK66-4*AM66)*0.25^2+(4*AM66-3*AK66-AO66)*0.25+AK66</f>
        <v>-7.0719295304711665</v>
      </c>
      <c r="AM66" s="29">
        <f t="shared" si="17"/>
        <v>-7.0808076901947841</v>
      </c>
      <c r="AN66" s="29">
        <f>(2*AO66+2*AK66-4*AM66)*0.75^2+(4*AM66-3*AK66-AO66)*0.75+AK66</f>
        <v>-7.1037821535163603</v>
      </c>
      <c r="AO66" s="29">
        <f t="shared" si="17"/>
        <v>-7.1408529204358926</v>
      </c>
      <c r="AR66" s="29"/>
      <c r="AS66" s="29"/>
      <c r="AT66" s="29"/>
      <c r="AV66" s="38"/>
      <c r="AW66" s="38"/>
      <c r="AX66" s="36">
        <f>AK65</f>
        <v>7.0771476743455066</v>
      </c>
      <c r="AY66" s="36">
        <f>AK62</f>
        <v>4.8514589937413639</v>
      </c>
    </row>
    <row r="67" spans="1:51" x14ac:dyDescent="0.2"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R67" s="29"/>
      <c r="AS67" s="29"/>
      <c r="AT67" s="29"/>
    </row>
    <row r="68" spans="1:51" x14ac:dyDescent="0.2"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>
        <f>C$26*Bulkheads!$U38+($C$1-Bulkheads!$U38)</f>
        <v>0</v>
      </c>
      <c r="W68" s="29">
        <f>D$26*Bulkheads!$U38+($C$1-Bulkheads!$U38)</f>
        <v>4.8514589937413644E-2</v>
      </c>
      <c r="X68" s="29">
        <f>E$26*Bulkheads!$U38+($C$1-Bulkheads!$U38)</f>
        <v>0.1455437698122409</v>
      </c>
      <c r="Y68" s="29">
        <f>F$26*Bulkheads!$U38+($C$1-Bulkheads!$U38)</f>
        <v>0.24257294968706822</v>
      </c>
      <c r="Z68" s="29">
        <f>G$26*Bulkheads!$U38+($C$1-Bulkheads!$U38)</f>
        <v>0.3396021295618955</v>
      </c>
      <c r="AA68" s="29">
        <f>H$26*Bulkheads!$U38+($C$1-Bulkheads!$U38)</f>
        <v>0.48514589937413644</v>
      </c>
      <c r="AB68" s="29">
        <f>I$26*Bulkheads!$U38+($C$1-Bulkheads!$U38)</f>
        <v>0.72771884906120454</v>
      </c>
      <c r="AC68" s="29">
        <f>J$26*Bulkheads!$U38+($C$1-Bulkheads!$U38)</f>
        <v>0.97029179874827287</v>
      </c>
      <c r="AD68" s="29">
        <f>K$26*Bulkheads!$U38+($C$1-Bulkheads!$U38)</f>
        <v>1.4554376981224091</v>
      </c>
      <c r="AE68" s="29">
        <f>L$26*Bulkheads!$U38+($C$1-Bulkheads!$U38)</f>
        <v>1.9405835974965457</v>
      </c>
      <c r="AF68" s="29">
        <f>M$26*Bulkheads!$U38+($C$1-Bulkheads!$U38)</f>
        <v>2.425729496870682</v>
      </c>
      <c r="AG68" s="29">
        <f>N$26*Bulkheads!$U38+($C$1-Bulkheads!$U38)</f>
        <v>2.9108753962448182</v>
      </c>
      <c r="AH68" s="29">
        <f>O$26*Bulkheads!$U38+($C$1-Bulkheads!$U38)</f>
        <v>3.3960212956189544</v>
      </c>
      <c r="AI68" s="29">
        <f>P$26*Bulkheads!$U38+($C$1-Bulkheads!$U38)</f>
        <v>3.8811671949930915</v>
      </c>
      <c r="AJ68" s="29">
        <f>Q$26*Bulkheads!$U38+($C$1-Bulkheads!$U38)</f>
        <v>4.3663130943672277</v>
      </c>
      <c r="AK68" s="29">
        <f>R$26*Bulkheads!$U38+($C$1-Bulkheads!$U38)</f>
        <v>4.8514589937413639</v>
      </c>
      <c r="AL68" s="29">
        <f>(AM68+AK68)/2</f>
        <v>5.8786038578464002</v>
      </c>
      <c r="AM68" s="29">
        <f>(AO68+AK68)/2</f>
        <v>6.9057487219514373</v>
      </c>
      <c r="AN68" s="29">
        <f>(AO68+AM68)/2</f>
        <v>7.9328935860564744</v>
      </c>
      <c r="AO68" s="29">
        <f>(_xll.Spline('Profile Calcs'!$G$45:$G$65,'Profile Calcs'!$H$45:$H$65,Bulkheads!C38,TRUE))</f>
        <v>8.9600384501615107</v>
      </c>
      <c r="AR68" s="29">
        <f>-(-4*AM71+3*AK71+AO71)*(AO68-AK68)*Bulkheads!U38/Bulkheads!T38</f>
        <v>0.68723349776977771</v>
      </c>
      <c r="AS68" s="29">
        <f>-(-4*AM71+3*AK71+AO71)/(AO68-AK68)</f>
        <v>5.87551239680607E-2</v>
      </c>
      <c r="AT68" s="29">
        <f>DEGREES(ATAN((AM71-AK71)/(AM68-AK68)))</f>
        <v>1.7107543744140639</v>
      </c>
      <c r="AU68" s="28">
        <f>((AX72-AX71)/AX72)/(AY72/Bulkheads!$U$38)</f>
        <v>4.0711859545864135E-2</v>
      </c>
      <c r="AV68" s="29">
        <f>AL68/COS(AT68*PI()/180)</f>
        <v>5.8812252718025491</v>
      </c>
      <c r="AW68" s="28">
        <f>AV68*SIN(AT68*PI()/180)</f>
        <v>0.17557727701039835</v>
      </c>
      <c r="AX68" s="29">
        <f>AL71-AW68</f>
        <v>6.871534697119384</v>
      </c>
      <c r="AY68" s="28">
        <v>0</v>
      </c>
    </row>
    <row r="69" spans="1:51" x14ac:dyDescent="0.2">
      <c r="A69" s="28">
        <v>13</v>
      </c>
      <c r="B69" s="28" t="s">
        <v>104</v>
      </c>
      <c r="C69" s="29">
        <f>W$3+W$4*Bulkheads!$I38+W$5*Bulkheads!$J38+W$6*Bulkheads!$K38</f>
        <v>0</v>
      </c>
      <c r="D69" s="29">
        <f>X$3+X$4*Bulkheads!$I38+X$5*Bulkheads!$J38+X$6*Bulkheads!$K38</f>
        <v>9.9635736017461965E-2</v>
      </c>
      <c r="E69" s="29">
        <f>Y$3+Y$4*Bulkheads!$I38+Y$5*Bulkheads!$J38+Y$6*Bulkheads!$K38</f>
        <v>0.27960083159817045</v>
      </c>
      <c r="F69" s="29">
        <f>Z$3+Z$4*Bulkheads!$I38+Z$5*Bulkheads!$J38+Z$6*Bulkheads!$K38</f>
        <v>0.4353881112240493</v>
      </c>
      <c r="G69" s="29">
        <f>AA$3+AA$4*Bulkheads!$I38+AA$5*Bulkheads!$J38+AA$6*Bulkheads!$K38</f>
        <v>0.56882041824815799</v>
      </c>
      <c r="H69" s="29">
        <f>AB$3+AB$4*Bulkheads!$I38+AB$5*Bulkheads!$J38+AB$6*Bulkheads!$K38</f>
        <v>0.73088895672487986</v>
      </c>
      <c r="I69" s="29">
        <f>AC$3+AC$4*Bulkheads!$I38+AC$5*Bulkheads!$J38+AC$6*Bulkheads!$K38</f>
        <v>0.91329759427249557</v>
      </c>
      <c r="J69" s="29">
        <f>AD$3+AD$4*Bulkheads!$I38+AD$5*Bulkheads!$J38+AD$6*Bulkheads!$K38</f>
        <v>1.0069992678918285</v>
      </c>
      <c r="K69" s="29">
        <f>AE$3+AE$4*Bulkheads!$I38+AE$5*Bulkheads!$J38+AE$6*Bulkheads!$K38</f>
        <v>1.0137736307200147</v>
      </c>
      <c r="L69" s="29">
        <f>AF$3+AF$4*Bulkheads!$I38+AF$5*Bulkheads!$J38+AF$6*Bulkheads!$K38</f>
        <v>0.89809772250745257</v>
      </c>
      <c r="M69" s="29">
        <f>AG$3+AG$4*Bulkheads!$I38+AG$5*Bulkheads!$J38+AG$6*Bulkheads!$K38</f>
        <v>0.76830020063100501</v>
      </c>
      <c r="N69" s="29">
        <f>AH$3+AH$4*Bulkheads!$I38+AH$5*Bulkheads!$J38+AH$6*Bulkheads!$K38</f>
        <v>0.69415270254638239</v>
      </c>
      <c r="O69" s="29">
        <f>AI$3+AI$4*Bulkheads!$I38+AI$5*Bulkheads!$J38+AI$6*Bulkheads!$K38</f>
        <v>0.70686984578814027</v>
      </c>
      <c r="P69" s="29">
        <f>AJ$3+AJ$4*Bulkheads!$I38+AJ$5*Bulkheads!$J38+AJ$6*Bulkheads!$K38</f>
        <v>0.79910922796968475</v>
      </c>
      <c r="Q69" s="29">
        <f>AK$3+AK$4*Bulkheads!$I38+AK$5*Bulkheads!$J38+AK$6*Bulkheads!$K38</f>
        <v>0.92497142678326627</v>
      </c>
      <c r="R69" s="29">
        <v>1</v>
      </c>
      <c r="S69" s="29">
        <f>AM$3+AM$4*Bulkheads!$I38+AM$5*Bulkheads!$J38+AM$6*Bulkheads!$K38</f>
        <v>0.90118148546981691</v>
      </c>
      <c r="T69" s="29">
        <f>AN$3+AN$4*Bulkheads!$I38+AN$5*Bulkheads!$J38+AN$6*Bulkheads!$K38</f>
        <v>0.46694540112152483</v>
      </c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R69" s="29"/>
      <c r="AS69" s="29"/>
      <c r="AT69" s="29"/>
      <c r="AX69" s="29">
        <f>AL71</f>
        <v>7.0471119741297823</v>
      </c>
      <c r="AY69" s="29">
        <f>AL68</f>
        <v>5.8786038578464002</v>
      </c>
    </row>
    <row r="70" spans="1:51" x14ac:dyDescent="0.2">
      <c r="B70" s="28" t="s">
        <v>103</v>
      </c>
      <c r="C70" s="29">
        <f>Bulkheads!$R38*C$13+Bulkheads!$Q38-Bulkheads!$O38/(C$13+Bulkheads!$P38)</f>
        <v>0</v>
      </c>
      <c r="D70" s="29">
        <f>Bulkheads!$R38*D$13+Bulkheads!$Q38-Bulkheads!$O38/(D$13+Bulkheads!$P38)</f>
        <v>8.2002745875012328E-2</v>
      </c>
      <c r="E70" s="29">
        <f>Bulkheads!$R38*E$13+Bulkheads!$Q38-Bulkheads!$O38/(E$13+Bulkheads!$P38)</f>
        <v>0.21461285791458151</v>
      </c>
      <c r="F70" s="29">
        <f>Bulkheads!$R38*F$13+Bulkheads!$Q38-Bulkheads!$O38/(F$13+Bulkheads!$P38)</f>
        <v>0.31721488536691644</v>
      </c>
      <c r="G70" s="29">
        <f>Bulkheads!$R38*G$13+Bulkheads!$Q38-Bulkheads!$O38/(G$13+Bulkheads!$P38)</f>
        <v>0.39896738314194258</v>
      </c>
      <c r="H70" s="29">
        <f>Bulkheads!$R38*H$13+Bulkheads!$Q38-Bulkheads!$O38/(H$13+Bulkheads!$P38)</f>
        <v>0.49458011626992238</v>
      </c>
      <c r="I70" s="29">
        <f>Bulkheads!$R38*I$13+Bulkheads!$Q38-Bulkheads!$O38/(I$13+Bulkheads!$P38)</f>
        <v>0.60793866861572976</v>
      </c>
      <c r="J70" s="29">
        <f>Bulkheads!$R38*J$13+Bulkheads!$Q38-Bulkheads!$O38/(J$13+Bulkheads!$P38)</f>
        <v>0.68668821681880465</v>
      </c>
      <c r="K70" s="29">
        <f>Bulkheads!$R38*K$13+Bulkheads!$Q38-Bulkheads!$O38/(K$13+Bulkheads!$P38)</f>
        <v>0.78903790026489562</v>
      </c>
      <c r="L70" s="29">
        <f>Bulkheads!$R38*L$13+Bulkheads!$Q38-Bulkheads!$O38/(L$13+Bulkheads!$P38)</f>
        <v>0.85276477215203539</v>
      </c>
      <c r="M70" s="29">
        <f>Bulkheads!$R38*M$13+Bulkheads!$Q38-Bulkheads!$O38/(M$13+Bulkheads!$P38)</f>
        <v>0.89636072326328398</v>
      </c>
      <c r="N70" s="29">
        <f>Bulkheads!$R38*N$13+Bulkheads!$Q38-Bulkheads!$O38/(N$13+Bulkheads!$P38)</f>
        <v>0.92813755517569096</v>
      </c>
      <c r="O70" s="29">
        <f>Bulkheads!$R38*O$13+Bulkheads!$Q38-Bulkheads!$O38/(O$13+Bulkheads!$P38)</f>
        <v>0.95238485949771956</v>
      </c>
      <c r="P70" s="29">
        <f>Bulkheads!$R38*P$13+Bulkheads!$Q38-Bulkheads!$O38/(P$13+Bulkheads!$P38)</f>
        <v>0.9715404533962273</v>
      </c>
      <c r="Q70" s="29">
        <f>Bulkheads!$R38*Q$13+Bulkheads!$Q38-Bulkheads!$O38/(Q$13+Bulkheads!$P38)</f>
        <v>0.98709228469150156</v>
      </c>
      <c r="R70" s="29">
        <v>1</v>
      </c>
      <c r="S70" s="29">
        <f>Bulkheads!$R38*S$13+Bulkheads!$Q38-Bulkheads!$O38/(S$13+Bulkheads!$P38)</f>
        <v>1.0109102982672011</v>
      </c>
      <c r="T70" s="29">
        <f>Bulkheads!$R38*T$13+Bulkheads!$Q38-Bulkheads!$O38/(T$13+Bulkheads!$P38)</f>
        <v>1.0202748826397843</v>
      </c>
      <c r="U70" s="36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R70" s="29"/>
      <c r="AS70" s="29"/>
      <c r="AT70" s="29"/>
      <c r="AV70" s="38"/>
      <c r="AW70" s="38"/>
      <c r="AX70" s="38"/>
      <c r="AY70" s="38"/>
    </row>
    <row r="71" spans="1:51" x14ac:dyDescent="0.2">
      <c r="C71" s="29">
        <f>IF(Bulkheads!$E38&lt;0.72,C69,C70)</f>
        <v>0</v>
      </c>
      <c r="D71" s="29">
        <f>IF(Bulkheads!$E38&lt;0.72,D69,D70)</f>
        <v>8.2002745875012328E-2</v>
      </c>
      <c r="E71" s="29">
        <f>IF(Bulkheads!$E38&lt;0.72,E69,E70)</f>
        <v>0.21461285791458151</v>
      </c>
      <c r="F71" s="29">
        <f>IF(Bulkheads!$E38&lt;0.72,F69,F70)</f>
        <v>0.31721488536691644</v>
      </c>
      <c r="G71" s="29">
        <f>IF(Bulkheads!$E38&lt;0.72,G69,G70)</f>
        <v>0.39896738314194258</v>
      </c>
      <c r="H71" s="29">
        <f>IF(Bulkheads!$E38&lt;0.72,H69,H70)</f>
        <v>0.49458011626992238</v>
      </c>
      <c r="I71" s="29">
        <f>IF(Bulkheads!$E38&lt;0.72,I69,I70)</f>
        <v>0.60793866861572976</v>
      </c>
      <c r="J71" s="29">
        <f>IF(Bulkheads!$E38&lt;0.72,J69,J70)</f>
        <v>0.68668821681880465</v>
      </c>
      <c r="K71" s="29">
        <f>IF(Bulkheads!$E38&lt;0.72,K69,K70)</f>
        <v>0.78903790026489562</v>
      </c>
      <c r="L71" s="29">
        <f>IF(Bulkheads!$E38&lt;0.72,L69,L70)</f>
        <v>0.85276477215203539</v>
      </c>
      <c r="M71" s="29">
        <f>IF(Bulkheads!$E38&lt;0.72,M69,M70)</f>
        <v>0.89636072326328398</v>
      </c>
      <c r="N71" s="29">
        <f>IF(Bulkheads!$E38&lt;0.72,N69,N70)</f>
        <v>0.92813755517569096</v>
      </c>
      <c r="O71" s="29">
        <f>IF(Bulkheads!$E38&lt;0.72,O69,O70)</f>
        <v>0.95238485949771956</v>
      </c>
      <c r="P71" s="29">
        <f>IF(Bulkheads!$E38&lt;0.72,P69,P70)</f>
        <v>0.9715404533962273</v>
      </c>
      <c r="Q71" s="29">
        <f>IF(Bulkheads!$E38&lt;0.72,Q69,Q70)</f>
        <v>0.98709228469150156</v>
      </c>
      <c r="R71" s="29">
        <v>1</v>
      </c>
      <c r="S71" s="29">
        <f>IF(Bulkheads!$E38&lt;0.72,S69,S70)</f>
        <v>1.0109102982672011</v>
      </c>
      <c r="T71" s="29">
        <f>IF(Bulkheads!$E38&lt;0.72,T69,T70)</f>
        <v>1.0202748826397843</v>
      </c>
      <c r="U71" s="29"/>
      <c r="V71" s="29">
        <f>C71*Bulkheads!$T38</f>
        <v>0</v>
      </c>
      <c r="W71" s="29">
        <f>D71*Bulkheads!$T38</f>
        <v>0.57415026197754249</v>
      </c>
      <c r="X71" s="29">
        <f>E71*Bulkheads!$T38</f>
        <v>1.5026329579648061</v>
      </c>
      <c r="Y71" s="29">
        <f>F71*Bulkheads!$T38</f>
        <v>2.221011108752263</v>
      </c>
      <c r="Z71" s="29">
        <f>G71*Bulkheads!$T38</f>
        <v>2.7934092341320205</v>
      </c>
      <c r="AA71" s="29">
        <f>H71*Bulkheads!$T38</f>
        <v>3.4628511557170665</v>
      </c>
      <c r="AB71" s="29">
        <f>I71*Bulkheads!$T38</f>
        <v>4.2565421697465462</v>
      </c>
      <c r="AC71" s="29">
        <f>J71*Bulkheads!$T38</f>
        <v>4.8079148493922172</v>
      </c>
      <c r="AD71" s="29">
        <f>K71*Bulkheads!$T38</f>
        <v>5.5245261888888155</v>
      </c>
      <c r="AE71" s="29">
        <f>L71*Bulkheads!$T38</f>
        <v>5.9707161280010839</v>
      </c>
      <c r="AF71" s="29">
        <f>M71*Bulkheads!$T38</f>
        <v>6.2759574523566721</v>
      </c>
      <c r="AG71" s="29">
        <f>N71*Bulkheads!$T38</f>
        <v>6.498446055300934</v>
      </c>
      <c r="AH71" s="29">
        <f>O71*Bulkheads!$T38</f>
        <v>6.6682159328848023</v>
      </c>
      <c r="AI71" s="29">
        <f>P71*Bulkheads!$T38</f>
        <v>6.8023357009219234</v>
      </c>
      <c r="AJ71" s="29">
        <f>Q71*Bulkheads!$T38</f>
        <v>6.911223371903354</v>
      </c>
      <c r="AK71" s="29">
        <f>R71*Bulkheads!$T38</f>
        <v>7.0015980056650289</v>
      </c>
      <c r="AL71" s="29">
        <f>(2*AO71+2*AK71-4*AM71)*0.25^2+(4*AM71-3*AK71-AO71)*0.25+AK71</f>
        <v>7.0471119741297823</v>
      </c>
      <c r="AM71" s="29">
        <f>_xll.Spline('Mid Upr WL Opt1 Calcs'!$O$24:$O$44,'Cxx Selected'!$I$77:$I$97,Bulkheads!C38,TRUE)</f>
        <v>7.0629538318767464</v>
      </c>
      <c r="AN71" s="29">
        <f>(2*AO71+2*AK71-4*AM71)*0.75^2+(4*AM71-3*AK71-AO71)*0.75+AK71</f>
        <v>7.0491235789059239</v>
      </c>
      <c r="AO71" s="29">
        <f>_xll.Spline('CWD Opt1 Calcs'!$J$26:$J$46,'Cxx Selected'!$I$52:$I$72,Bulkheads!C38,TRUE)</f>
        <v>7.0056212152173076</v>
      </c>
      <c r="AR71" s="29"/>
      <c r="AS71" s="29"/>
      <c r="AT71" s="29"/>
      <c r="AV71" s="38"/>
      <c r="AW71" s="38"/>
      <c r="AX71" s="36">
        <f>AK71-AS68*AK68</f>
        <v>6.7165499310617918</v>
      </c>
      <c r="AY71" s="38">
        <v>0</v>
      </c>
    </row>
    <row r="72" spans="1:51" x14ac:dyDescent="0.2"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>
        <f t="shared" ref="V72:AO72" si="18">-V71</f>
        <v>0</v>
      </c>
      <c r="W72" s="29">
        <f t="shared" si="18"/>
        <v>-0.57415026197754249</v>
      </c>
      <c r="X72" s="29">
        <f t="shared" si="18"/>
        <v>-1.5026329579648061</v>
      </c>
      <c r="Y72" s="29">
        <f t="shared" si="18"/>
        <v>-2.221011108752263</v>
      </c>
      <c r="Z72" s="29">
        <f t="shared" si="18"/>
        <v>-2.7934092341320205</v>
      </c>
      <c r="AA72" s="29">
        <f t="shared" si="18"/>
        <v>-3.4628511557170665</v>
      </c>
      <c r="AB72" s="29">
        <f t="shared" si="18"/>
        <v>-4.2565421697465462</v>
      </c>
      <c r="AC72" s="29">
        <f t="shared" si="18"/>
        <v>-4.8079148493922172</v>
      </c>
      <c r="AD72" s="29">
        <f t="shared" si="18"/>
        <v>-5.5245261888888155</v>
      </c>
      <c r="AE72" s="29">
        <f t="shared" si="18"/>
        <v>-5.9707161280010839</v>
      </c>
      <c r="AF72" s="29">
        <f t="shared" si="18"/>
        <v>-6.2759574523566721</v>
      </c>
      <c r="AG72" s="29">
        <f t="shared" si="18"/>
        <v>-6.498446055300934</v>
      </c>
      <c r="AH72" s="29">
        <f t="shared" si="18"/>
        <v>-6.6682159328848023</v>
      </c>
      <c r="AI72" s="29">
        <f t="shared" si="18"/>
        <v>-6.8023357009219234</v>
      </c>
      <c r="AJ72" s="29">
        <f t="shared" si="18"/>
        <v>-6.911223371903354</v>
      </c>
      <c r="AK72" s="29">
        <f t="shared" si="18"/>
        <v>-7.0015980056650289</v>
      </c>
      <c r="AL72" s="29">
        <f>(2*AO72+2*AK72-4*AM72)*0.25^2+(4*AM72-3*AK72-AO72)*0.25+AK72</f>
        <v>-7.0471119741297823</v>
      </c>
      <c r="AM72" s="29">
        <f t="shared" si="18"/>
        <v>-7.0629538318767464</v>
      </c>
      <c r="AN72" s="29">
        <f>(2*AO72+2*AK72-4*AM72)*0.75^2+(4*AM72-3*AK72-AO72)*0.75+AK72</f>
        <v>-7.0491235789059239</v>
      </c>
      <c r="AO72" s="29">
        <f t="shared" si="18"/>
        <v>-7.0056212152173076</v>
      </c>
      <c r="AR72" s="29"/>
      <c r="AS72" s="29"/>
      <c r="AT72" s="29"/>
      <c r="AV72" s="38"/>
      <c r="AW72" s="38"/>
      <c r="AX72" s="36">
        <f>AK71</f>
        <v>7.0015980056650289</v>
      </c>
      <c r="AY72" s="36">
        <f>AK68</f>
        <v>4.8514589937413639</v>
      </c>
    </row>
    <row r="73" spans="1:51" x14ac:dyDescent="0.2"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R73" s="29"/>
      <c r="AS73" s="29"/>
      <c r="AT73" s="29"/>
    </row>
    <row r="74" spans="1:51" x14ac:dyDescent="0.2"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>
        <f>C$26*Bulkheads!$U39+($C$1-Bulkheads!$U39)</f>
        <v>0</v>
      </c>
      <c r="W74" s="29">
        <f>D$26*Bulkheads!$U39+($C$1-Bulkheads!$U39)</f>
        <v>4.8514589937413644E-2</v>
      </c>
      <c r="X74" s="29">
        <f>E$26*Bulkheads!$U39+($C$1-Bulkheads!$U39)</f>
        <v>0.1455437698122409</v>
      </c>
      <c r="Y74" s="29">
        <f>F$26*Bulkheads!$U39+($C$1-Bulkheads!$U39)</f>
        <v>0.24257294968706822</v>
      </c>
      <c r="Z74" s="29">
        <f>G$26*Bulkheads!$U39+($C$1-Bulkheads!$U39)</f>
        <v>0.3396021295618955</v>
      </c>
      <c r="AA74" s="29">
        <f>H$26*Bulkheads!$U39+($C$1-Bulkheads!$U39)</f>
        <v>0.48514589937413644</v>
      </c>
      <c r="AB74" s="29">
        <f>I$26*Bulkheads!$U39+($C$1-Bulkheads!$U39)</f>
        <v>0.72771884906120454</v>
      </c>
      <c r="AC74" s="29">
        <f>J$26*Bulkheads!$U39+($C$1-Bulkheads!$U39)</f>
        <v>0.97029179874827287</v>
      </c>
      <c r="AD74" s="29">
        <f>K$26*Bulkheads!$U39+($C$1-Bulkheads!$U39)</f>
        <v>1.4554376981224091</v>
      </c>
      <c r="AE74" s="29">
        <f>L$26*Bulkheads!$U39+($C$1-Bulkheads!$U39)</f>
        <v>1.9405835974965457</v>
      </c>
      <c r="AF74" s="29">
        <f>M$26*Bulkheads!$U39+($C$1-Bulkheads!$U39)</f>
        <v>2.425729496870682</v>
      </c>
      <c r="AG74" s="29">
        <f>N$26*Bulkheads!$U39+($C$1-Bulkheads!$U39)</f>
        <v>2.9108753962448182</v>
      </c>
      <c r="AH74" s="29">
        <f>O$26*Bulkheads!$U39+($C$1-Bulkheads!$U39)</f>
        <v>3.3960212956189544</v>
      </c>
      <c r="AI74" s="29">
        <f>P$26*Bulkheads!$U39+($C$1-Bulkheads!$U39)</f>
        <v>3.8811671949930915</v>
      </c>
      <c r="AJ74" s="29">
        <f>Q$26*Bulkheads!$U39+($C$1-Bulkheads!$U39)</f>
        <v>4.3663130943672277</v>
      </c>
      <c r="AK74" s="29">
        <f>R$26*Bulkheads!$U39+($C$1-Bulkheads!$U39)</f>
        <v>4.8514589937413639</v>
      </c>
      <c r="AL74" s="29">
        <f>(AM74+AK74)/2</f>
        <v>5.8922391504522817</v>
      </c>
      <c r="AM74" s="29">
        <f>(AO74+AK74)/2</f>
        <v>6.9330193071632005</v>
      </c>
      <c r="AN74" s="29">
        <f>(AO74+AM74)/2</f>
        <v>7.9737994638741192</v>
      </c>
      <c r="AO74" s="29">
        <f>(_xll.Spline('Profile Calcs'!$G$45:$G$65,'Profile Calcs'!$H$45:$H$65,Bulkheads!C39,TRUE))</f>
        <v>9.014579620585037</v>
      </c>
      <c r="AR74" s="29">
        <f>-(-4*AM77+3*AK77+AO77)*(AO74-AK74)*Bulkheads!U39/Bulkheads!T39</f>
        <v>3.2446509329407083</v>
      </c>
      <c r="AS74" s="29">
        <f>-(-4*AM77+3*AK77+AO77)/(AO74-AK74)</f>
        <v>0.24945821678234553</v>
      </c>
      <c r="AT74" s="29">
        <f>DEGREES(ATAN((AM77-AK77)/(AM74-AK74)))</f>
        <v>8.8643266960012301</v>
      </c>
      <c r="AU74" s="28">
        <f>((AX78-AX77)/AX78)/(AY78/Bulkheads!$U$39)</f>
        <v>0.18721040881479772</v>
      </c>
      <c r="AV74" s="29">
        <f>AL74/COS(AT74*PI()/180)</f>
        <v>5.9634668007388587</v>
      </c>
      <c r="AW74" s="28">
        <f>AV74*SIN(AT74*PI()/180)</f>
        <v>0.91894182481370068</v>
      </c>
      <c r="AX74" s="29">
        <f>AL77-AW74</f>
        <v>5.7566108536751077</v>
      </c>
      <c r="AY74" s="28">
        <v>0</v>
      </c>
    </row>
    <row r="75" spans="1:51" x14ac:dyDescent="0.2">
      <c r="A75" s="28">
        <v>12</v>
      </c>
      <c r="B75" s="28" t="s">
        <v>104</v>
      </c>
      <c r="C75" s="29">
        <f>W$3+W$4*Bulkheads!$I39+W$5*Bulkheads!$J39+W$6*Bulkheads!$K39</f>
        <v>0</v>
      </c>
      <c r="D75" s="29">
        <f>X$3+X$4*Bulkheads!$I39+X$5*Bulkheads!$J39+X$6*Bulkheads!$K39</f>
        <v>0.21432938521666653</v>
      </c>
      <c r="E75" s="29">
        <f>Y$3+Y$4*Bulkheads!$I39+Y$5*Bulkheads!$J39+Y$6*Bulkheads!$K39</f>
        <v>0.59301022180413954</v>
      </c>
      <c r="F75" s="29">
        <f>Z$3+Z$4*Bulkheads!$I39+Z$5*Bulkheads!$J39+Z$6*Bulkheads!$K39</f>
        <v>0.90938058038898217</v>
      </c>
      <c r="G75" s="29">
        <f>AA$3+AA$4*Bulkheads!$I39+AA$5*Bulkheads!$J39+AA$6*Bulkheads!$K39</f>
        <v>1.1684784668054025</v>
      </c>
      <c r="H75" s="29">
        <f>AB$3+AB$4*Bulkheads!$I39+AB$5*Bulkheads!$J39+AB$6*Bulkheads!$K39</f>
        <v>1.4603266012377822</v>
      </c>
      <c r="I75" s="29">
        <f>AC$3+AC$4*Bulkheads!$I39+AC$5*Bulkheads!$J39+AC$6*Bulkheads!$K39</f>
        <v>1.7267408188304914</v>
      </c>
      <c r="J75" s="29">
        <f>AD$3+AD$4*Bulkheads!$I39+AD$5*Bulkheads!$J39+AD$6*Bulkheads!$K39</f>
        <v>1.7756458682006309</v>
      </c>
      <c r="K75" s="29">
        <f>AE$3+AE$4*Bulkheads!$I39+AE$5*Bulkheads!$J39+AE$6*Bulkheads!$K39</f>
        <v>1.4546183961544448</v>
      </c>
      <c r="L75" s="29">
        <f>AF$3+AF$4*Bulkheads!$I39+AF$5*Bulkheads!$J39+AF$6*Bulkheads!$K39</f>
        <v>0.89582284035600646</v>
      </c>
      <c r="M75" s="29">
        <f>AG$3+AG$4*Bulkheads!$I39+AG$5*Bulkheads!$J39+AG$6*Bulkheads!$K39</f>
        <v>0.38775591605299076</v>
      </c>
      <c r="N75" s="29">
        <f>AH$3+AH$4*Bulkheads!$I39+AH$5*Bulkheads!$J39+AH$6*Bulkheads!$K39</f>
        <v>0.10883239848396009</v>
      </c>
      <c r="O75" s="29">
        <f>AI$3+AI$4*Bulkheads!$I39+AI$5*Bulkheads!$J39+AI$6*Bulkheads!$K39</f>
        <v>0.12738512287835868</v>
      </c>
      <c r="P75" s="29">
        <f>AJ$3+AJ$4*Bulkheads!$I39+AJ$5*Bulkheads!$J39+AJ$6*Bulkheads!$K39</f>
        <v>0.40166498445652776</v>
      </c>
      <c r="Q75" s="29">
        <f>AK$3+AK$4*Bulkheads!$I39+AK$5*Bulkheads!$J39+AK$6*Bulkheads!$K39</f>
        <v>0.77984093842969804</v>
      </c>
      <c r="R75" s="29">
        <v>1</v>
      </c>
      <c r="S75" s="29">
        <f>AM$3+AM$4*Bulkheads!$I39+AM$5*Bulkheads!$J39+AM$6*Bulkheads!$K39</f>
        <v>0.69014724436042219</v>
      </c>
      <c r="T75" s="29">
        <f>AN$3+AN$4*Bulkheads!$I39+AN$5*Bulkheads!$J39+AN$6*Bulkheads!$K39</f>
        <v>-0.6317941933051392</v>
      </c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R75" s="29"/>
      <c r="AS75" s="29"/>
      <c r="AT75" s="29"/>
      <c r="AX75" s="29">
        <f>AL77</f>
        <v>6.6755526784888088</v>
      </c>
      <c r="AY75" s="29">
        <f>AL74</f>
        <v>5.8922391504522817</v>
      </c>
    </row>
    <row r="76" spans="1:51" x14ac:dyDescent="0.2">
      <c r="B76" s="28" t="s">
        <v>103</v>
      </c>
      <c r="C76" s="29">
        <f>Bulkheads!$R39*C$13+Bulkheads!$Q39-Bulkheads!$O39/(C$13+Bulkheads!$P39)</f>
        <v>0</v>
      </c>
      <c r="D76" s="29">
        <f>Bulkheads!$R39*D$13+Bulkheads!$Q39-Bulkheads!$O39/(D$13+Bulkheads!$P39)</f>
        <v>0.15401698766370353</v>
      </c>
      <c r="E76" s="29">
        <f>Bulkheads!$R39*E$13+Bulkheads!$Q39-Bulkheads!$O39/(E$13+Bulkheads!$P39)</f>
        <v>0.33704649882929033</v>
      </c>
      <c r="F76" s="29">
        <f>Bulkheads!$R39*F$13+Bulkheads!$Q39-Bulkheads!$O39/(F$13+Bulkheads!$P39)</f>
        <v>0.44319256226492787</v>
      </c>
      <c r="G76" s="29">
        <f>Bulkheads!$R39*G$13+Bulkheads!$Q39-Bulkheads!$O39/(G$13+Bulkheads!$P39)</f>
        <v>0.51334580084447334</v>
      </c>
      <c r="H76" s="29">
        <f>Bulkheads!$R39*H$13+Bulkheads!$Q39-Bulkheads!$O39/(H$13+Bulkheads!$P39)</f>
        <v>0.58416766745955651</v>
      </c>
      <c r="I76" s="29">
        <f>Bulkheads!$R39*I$13+Bulkheads!$Q39-Bulkheads!$O39/(I$13+Bulkheads!$P39)</f>
        <v>0.65803676381001563</v>
      </c>
      <c r="J76" s="29">
        <f>Bulkheads!$R39*J$13+Bulkheads!$Q39-Bulkheads!$O39/(J$13+Bulkheads!$P39)</f>
        <v>0.70625516104526709</v>
      </c>
      <c r="K76" s="29">
        <f>Bulkheads!$R39*K$13+Bulkheads!$Q39-Bulkheads!$O39/(K$13+Bulkheads!$P39)</f>
        <v>0.77063432007267341</v>
      </c>
      <c r="L76" s="29">
        <f>Bulkheads!$R39*L$13+Bulkheads!$Q39-Bulkheads!$O39/(L$13+Bulkheads!$P39)</f>
        <v>0.81640175623437994</v>
      </c>
      <c r="M76" s="29">
        <f>Bulkheads!$R39*M$13+Bulkheads!$Q39-Bulkheads!$O39/(M$13+Bulkheads!$P39)</f>
        <v>0.85384372572371303</v>
      </c>
      <c r="N76" s="29">
        <f>Bulkheads!$R39*N$13+Bulkheads!$Q39-Bulkheads!$O39/(N$13+Bulkheads!$P39)</f>
        <v>0.88684571119893973</v>
      </c>
      <c r="O76" s="29">
        <f>Bulkheads!$R39*O$13+Bulkheads!$Q39-Bulkheads!$O39/(O$13+Bulkheads!$P39)</f>
        <v>0.91720088891441154</v>
      </c>
      <c r="P76" s="29">
        <f>Bulkheads!$R39*P$13+Bulkheads!$Q39-Bulkheads!$O39/(P$13+Bulkheads!$P39)</f>
        <v>0.9458513919741669</v>
      </c>
      <c r="Q76" s="29">
        <f>Bulkheads!$R39*Q$13+Bulkheads!$Q39-Bulkheads!$O39/(Q$13+Bulkheads!$P39)</f>
        <v>0.97333964207150969</v>
      </c>
      <c r="R76" s="29">
        <v>1</v>
      </c>
      <c r="S76" s="29">
        <f>Bulkheads!$R39*S$13+Bulkheads!$Q39-Bulkheads!$O39/(S$13+Bulkheads!$P39)</f>
        <v>1.0260497957877579</v>
      </c>
      <c r="T76" s="29">
        <f>Bulkheads!$R39*T$13+Bulkheads!$Q39-Bulkheads!$O39/(T$13+Bulkheads!$P39)</f>
        <v>1.0516364117000732</v>
      </c>
      <c r="U76" s="36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R76" s="29"/>
      <c r="AS76" s="29"/>
      <c r="AT76" s="29"/>
      <c r="AV76" s="38"/>
      <c r="AW76" s="38"/>
      <c r="AX76" s="38"/>
      <c r="AY76" s="38"/>
    </row>
    <row r="77" spans="1:51" x14ac:dyDescent="0.2">
      <c r="C77" s="29">
        <f>IF(Bulkheads!$E39&lt;0.72,C75,C76)</f>
        <v>0</v>
      </c>
      <c r="D77" s="29">
        <f>IF(Bulkheads!$E39&lt;0.72,D75,D76)</f>
        <v>0.15401698766370353</v>
      </c>
      <c r="E77" s="29">
        <f>IF(Bulkheads!$E39&lt;0.72,E75,E76)</f>
        <v>0.33704649882929033</v>
      </c>
      <c r="F77" s="29">
        <f>IF(Bulkheads!$E39&lt;0.72,F75,F76)</f>
        <v>0.44319256226492787</v>
      </c>
      <c r="G77" s="29">
        <f>IF(Bulkheads!$E39&lt;0.72,G75,G76)</f>
        <v>0.51334580084447334</v>
      </c>
      <c r="H77" s="29">
        <f>IF(Bulkheads!$E39&lt;0.72,H75,H76)</f>
        <v>0.58416766745955651</v>
      </c>
      <c r="I77" s="29">
        <f>IF(Bulkheads!$E39&lt;0.72,I75,I76)</f>
        <v>0.65803676381001563</v>
      </c>
      <c r="J77" s="29">
        <f>IF(Bulkheads!$E39&lt;0.72,J75,J76)</f>
        <v>0.70625516104526709</v>
      </c>
      <c r="K77" s="29">
        <f>IF(Bulkheads!$E39&lt;0.72,K75,K76)</f>
        <v>0.77063432007267341</v>
      </c>
      <c r="L77" s="29">
        <f>IF(Bulkheads!$E39&lt;0.72,L75,L76)</f>
        <v>0.81640175623437994</v>
      </c>
      <c r="M77" s="29">
        <f>IF(Bulkheads!$E39&lt;0.72,M75,M76)</f>
        <v>0.85384372572371303</v>
      </c>
      <c r="N77" s="29">
        <f>IF(Bulkheads!$E39&lt;0.72,N75,N76)</f>
        <v>0.88684571119893973</v>
      </c>
      <c r="O77" s="29">
        <f>IF(Bulkheads!$E39&lt;0.72,O75,O76)</f>
        <v>0.91720088891441154</v>
      </c>
      <c r="P77" s="29">
        <f>IF(Bulkheads!$E39&lt;0.72,P75,P76)</f>
        <v>0.9458513919741669</v>
      </c>
      <c r="Q77" s="29">
        <f>IF(Bulkheads!$E39&lt;0.72,Q75,Q76)</f>
        <v>0.97333964207150969</v>
      </c>
      <c r="R77" s="29">
        <v>1</v>
      </c>
      <c r="S77" s="29">
        <f>IF(Bulkheads!$E39&lt;0.72,S75,S76)</f>
        <v>1.0260497957877579</v>
      </c>
      <c r="T77" s="29">
        <f>IF(Bulkheads!$E39&lt;0.72,T75,T76)</f>
        <v>1.0516364117000732</v>
      </c>
      <c r="U77" s="29"/>
      <c r="V77" s="29">
        <f>C77*Bulkheads!$T39</f>
        <v>0</v>
      </c>
      <c r="W77" s="29">
        <f>D77*Bulkheads!$T39</f>
        <v>0.99565484585324215</v>
      </c>
      <c r="X77" s="29">
        <f>E77*Bulkheads!$T39</f>
        <v>2.1788634158330384</v>
      </c>
      <c r="Y77" s="29">
        <f>F77*Bulkheads!$T39</f>
        <v>2.865052933178367</v>
      </c>
      <c r="Z77" s="29">
        <f>G77*Bulkheads!$T39</f>
        <v>3.3185640231143503</v>
      </c>
      <c r="AA77" s="29">
        <f>H77*Bulkheads!$T39</f>
        <v>3.7763975112075423</v>
      </c>
      <c r="AB77" s="29">
        <f>I77*Bulkheads!$T39</f>
        <v>4.253930053921124</v>
      </c>
      <c r="AC77" s="29">
        <f>J77*Bulkheads!$T39</f>
        <v>4.5656416488224743</v>
      </c>
      <c r="AD77" s="29">
        <f>K77*Bulkheads!$T39</f>
        <v>4.9818257505240009</v>
      </c>
      <c r="AE77" s="29">
        <f>L77*Bulkheads!$T39</f>
        <v>5.2776929161394017</v>
      </c>
      <c r="AF77" s="29">
        <f>M77*Bulkheads!$T39</f>
        <v>5.5197394522120531</v>
      </c>
      <c r="AG77" s="29">
        <f>N77*Bulkheads!$T39</f>
        <v>5.7330833648519661</v>
      </c>
      <c r="AH77" s="29">
        <f>O77*Bulkheads!$T39</f>
        <v>5.929316782006822</v>
      </c>
      <c r="AI77" s="29">
        <f>P77*Bulkheads!$T39</f>
        <v>6.1145301967105636</v>
      </c>
      <c r="AJ77" s="29">
        <f>Q77*Bulkheads!$T39</f>
        <v>6.2922301363640072</v>
      </c>
      <c r="AK77" s="29">
        <f>R77*Bulkheads!$T39</f>
        <v>6.4645781024315117</v>
      </c>
      <c r="AL77" s="29">
        <f>(2*AO77+2*AK77-4*AM77)*0.25^2+(4*AM77-3*AK77-AO77)*0.25+AK77</f>
        <v>6.6755526784888088</v>
      </c>
      <c r="AM77" s="29">
        <f>_xll.Spline('Mid Upr WL Opt1 Calcs'!$O$24:$O$44,'Cxx Selected'!$I$77:$I$97,Bulkheads!C39,TRUE)</f>
        <v>6.7892140827495906</v>
      </c>
      <c r="AN77" s="29">
        <f>(2*AO77+2*AK77-4*AM77)*0.75^2+(4*AM77-3*AK77-AO77)*0.75+AK77</f>
        <v>6.8055623152138534</v>
      </c>
      <c r="AO77" s="29">
        <f>_xll.Spline('CWD Opt1 Calcs'!$J$26:$J$46,'Cxx Selected'!$I$52:$I$72,Bulkheads!C39,TRUE)</f>
        <v>6.7245973758816024</v>
      </c>
      <c r="AR77" s="29"/>
      <c r="AS77" s="29"/>
      <c r="AT77" s="29"/>
      <c r="AV77" s="38"/>
      <c r="AW77" s="38"/>
      <c r="AX77" s="36">
        <f>AK77-AS74*AK74</f>
        <v>5.2543417930601191</v>
      </c>
      <c r="AY77" s="38">
        <v>0</v>
      </c>
    </row>
    <row r="78" spans="1:51" x14ac:dyDescent="0.2"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>
        <f t="shared" ref="V78:AO78" si="19">-V77</f>
        <v>0</v>
      </c>
      <c r="W78" s="29">
        <f t="shared" si="19"/>
        <v>-0.99565484585324215</v>
      </c>
      <c r="X78" s="29">
        <f t="shared" si="19"/>
        <v>-2.1788634158330384</v>
      </c>
      <c r="Y78" s="29">
        <f t="shared" si="19"/>
        <v>-2.865052933178367</v>
      </c>
      <c r="Z78" s="29">
        <f t="shared" si="19"/>
        <v>-3.3185640231143503</v>
      </c>
      <c r="AA78" s="29">
        <f t="shared" si="19"/>
        <v>-3.7763975112075423</v>
      </c>
      <c r="AB78" s="29">
        <f t="shared" si="19"/>
        <v>-4.253930053921124</v>
      </c>
      <c r="AC78" s="29">
        <f t="shared" si="19"/>
        <v>-4.5656416488224743</v>
      </c>
      <c r="AD78" s="29">
        <f t="shared" si="19"/>
        <v>-4.9818257505240009</v>
      </c>
      <c r="AE78" s="29">
        <f t="shared" si="19"/>
        <v>-5.2776929161394017</v>
      </c>
      <c r="AF78" s="29">
        <f t="shared" si="19"/>
        <v>-5.5197394522120531</v>
      </c>
      <c r="AG78" s="29">
        <f t="shared" si="19"/>
        <v>-5.7330833648519661</v>
      </c>
      <c r="AH78" s="29">
        <f t="shared" si="19"/>
        <v>-5.929316782006822</v>
      </c>
      <c r="AI78" s="29">
        <f t="shared" si="19"/>
        <v>-6.1145301967105636</v>
      </c>
      <c r="AJ78" s="29">
        <f t="shared" si="19"/>
        <v>-6.2922301363640072</v>
      </c>
      <c r="AK78" s="29">
        <f t="shared" si="19"/>
        <v>-6.4645781024315117</v>
      </c>
      <c r="AL78" s="29">
        <f>(2*AO78+2*AK78-4*AM78)*0.25^2+(4*AM78-3*AK78-AO78)*0.25+AK78</f>
        <v>-6.6755526784888088</v>
      </c>
      <c r="AM78" s="29">
        <f t="shared" si="19"/>
        <v>-6.7892140827495906</v>
      </c>
      <c r="AN78" s="29">
        <f>(2*AO78+2*AK78-4*AM78)*0.75^2+(4*AM78-3*AK78-AO78)*0.75+AK78</f>
        <v>-6.8055623152138534</v>
      </c>
      <c r="AO78" s="29">
        <f t="shared" si="19"/>
        <v>-6.7245973758816024</v>
      </c>
      <c r="AR78" s="29"/>
      <c r="AS78" s="29"/>
      <c r="AT78" s="29"/>
      <c r="AV78" s="38"/>
      <c r="AW78" s="38"/>
      <c r="AX78" s="36">
        <f>AK77</f>
        <v>6.4645781024315117</v>
      </c>
      <c r="AY78" s="36">
        <f>AK74</f>
        <v>4.8514589937413639</v>
      </c>
    </row>
    <row r="79" spans="1:51" x14ac:dyDescent="0.2"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R79" s="29"/>
      <c r="AS79" s="29"/>
      <c r="AT79" s="29"/>
    </row>
    <row r="80" spans="1:51" x14ac:dyDescent="0.2"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>
        <f>C$26*Bulkheads!$U40+($C$1-Bulkheads!$U40)</f>
        <v>0</v>
      </c>
      <c r="W80" s="29">
        <f>D$26*Bulkheads!$U40+($C$1-Bulkheads!$U40)</f>
        <v>4.8514589937413644E-2</v>
      </c>
      <c r="X80" s="29">
        <f>E$26*Bulkheads!$U40+($C$1-Bulkheads!$U40)</f>
        <v>0.1455437698122409</v>
      </c>
      <c r="Y80" s="29">
        <f>F$26*Bulkheads!$U40+($C$1-Bulkheads!$U40)</f>
        <v>0.24257294968706822</v>
      </c>
      <c r="Z80" s="29">
        <f>G$26*Bulkheads!$U40+($C$1-Bulkheads!$U40)</f>
        <v>0.3396021295618955</v>
      </c>
      <c r="AA80" s="29">
        <f>H$26*Bulkheads!$U40+($C$1-Bulkheads!$U40)</f>
        <v>0.48514589937413644</v>
      </c>
      <c r="AB80" s="29">
        <f>I$26*Bulkheads!$U40+($C$1-Bulkheads!$U40)</f>
        <v>0.72771884906120454</v>
      </c>
      <c r="AC80" s="29">
        <f>J$26*Bulkheads!$U40+($C$1-Bulkheads!$U40)</f>
        <v>0.97029179874827287</v>
      </c>
      <c r="AD80" s="29">
        <f>K$26*Bulkheads!$U40+($C$1-Bulkheads!$U40)</f>
        <v>1.4554376981224091</v>
      </c>
      <c r="AE80" s="29">
        <f>L$26*Bulkheads!$U40+($C$1-Bulkheads!$U40)</f>
        <v>1.9405835974965457</v>
      </c>
      <c r="AF80" s="29">
        <f>M$26*Bulkheads!$U40+($C$1-Bulkheads!$U40)</f>
        <v>2.425729496870682</v>
      </c>
      <c r="AG80" s="29">
        <f>N$26*Bulkheads!$U40+($C$1-Bulkheads!$U40)</f>
        <v>2.9108753962448182</v>
      </c>
      <c r="AH80" s="29">
        <f>O$26*Bulkheads!$U40+($C$1-Bulkheads!$U40)</f>
        <v>3.3960212956189544</v>
      </c>
      <c r="AI80" s="29">
        <f>P$26*Bulkheads!$U40+($C$1-Bulkheads!$U40)</f>
        <v>3.8811671949930915</v>
      </c>
      <c r="AJ80" s="29">
        <f>Q$26*Bulkheads!$U40+($C$1-Bulkheads!$U40)</f>
        <v>4.3663130943672277</v>
      </c>
      <c r="AK80" s="29">
        <f>R$26*Bulkheads!$U40+($C$1-Bulkheads!$U40)</f>
        <v>4.8514589937413639</v>
      </c>
      <c r="AL80" s="29">
        <f>(AM80+AK80)/2</f>
        <v>5.9364157075602337</v>
      </c>
      <c r="AM80" s="29">
        <f>(AO80+AK80)/2</f>
        <v>7.0213724213791036</v>
      </c>
      <c r="AN80" s="29">
        <f>(AO80+AM80)/2</f>
        <v>8.1063291351979743</v>
      </c>
      <c r="AO80" s="29">
        <f>(_xll.Spline('Profile Calcs'!$G$45:$G$65,'Profile Calcs'!$H$45:$H$65,Bulkheads!C40,TRUE))</f>
        <v>9.1912858490168432</v>
      </c>
      <c r="AR80" s="29">
        <f>-(-4*AM83+3*AK83+AO83)*(AO80-AK80)*Bulkheads!U40/Bulkheads!T40</f>
        <v>7.6298034483163786</v>
      </c>
      <c r="AS80" s="29">
        <f>-(-4*AM83+3*AK83+AO83)/(AO80-AK80)</f>
        <v>0.45912693205913963</v>
      </c>
      <c r="AT80" s="29">
        <f>DEGREES(ATAN((AM83-AK83)/(AM80-AK80)))</f>
        <v>17.638755646337255</v>
      </c>
      <c r="AU80" s="28">
        <f>((AX84-AX83)/AX84)/(AY84/Bulkheads!$U$40)</f>
        <v>0.40510587760725997</v>
      </c>
      <c r="AV80" s="29">
        <f>AL80/COS(AT80*PI()/180)</f>
        <v>6.2292795376843086</v>
      </c>
      <c r="AW80" s="28">
        <f>AV80*SIN(AT80*PI()/180)</f>
        <v>1.887562477282426</v>
      </c>
      <c r="AX80" s="29">
        <f>AL83-AW80</f>
        <v>4.0323954427022386</v>
      </c>
      <c r="AY80" s="28">
        <v>0</v>
      </c>
    </row>
    <row r="81" spans="1:51" x14ac:dyDescent="0.2">
      <c r="A81" s="28">
        <v>11</v>
      </c>
      <c r="B81" s="28" t="s">
        <v>104</v>
      </c>
      <c r="C81" s="29">
        <f>W$3+W$4*Bulkheads!$I40+W$5*Bulkheads!$J40+W$6*Bulkheads!$K40</f>
        <v>0</v>
      </c>
      <c r="D81" s="29">
        <f>X$3+X$4*Bulkheads!$I40+X$5*Bulkheads!$J40+X$6*Bulkheads!$K40</f>
        <v>0.31376869558606962</v>
      </c>
      <c r="E81" s="29">
        <f>Y$3+Y$4*Bulkheads!$I40+Y$5*Bulkheads!$J40+Y$6*Bulkheads!$K40</f>
        <v>0.86463070000107622</v>
      </c>
      <c r="F81" s="29">
        <f>Z$3+Z$4*Bulkheads!$I40+Z$5*Bulkheads!$J40+Z$6*Bulkheads!$K40</f>
        <v>1.3199955138542188</v>
      </c>
      <c r="G81" s="29">
        <f>AA$3+AA$4*Bulkheads!$I40+AA$5*Bulkheads!$J40+AA$6*Bulkheads!$K40</f>
        <v>1.6877055450594132</v>
      </c>
      <c r="H81" s="29">
        <f>AB$3+AB$4*Bulkheads!$I40+AB$5*Bulkheads!$J40+AB$6*Bulkheads!$K40</f>
        <v>2.0913936917110738</v>
      </c>
      <c r="I81" s="29">
        <f>AC$3+AC$4*Bulkheads!$I40+AC$5*Bulkheads!$J40+AC$6*Bulkheads!$K40</f>
        <v>2.4291827127486352</v>
      </c>
      <c r="J81" s="29">
        <f>AD$3+AD$4*Bulkheads!$I40+AD$5*Bulkheads!$J40+AD$6*Bulkheads!$K40</f>
        <v>2.4375658354637366</v>
      </c>
      <c r="K81" s="29">
        <f>AE$3+AE$4*Bulkheads!$I40+AE$5*Bulkheads!$J40+AE$6*Bulkheads!$K40</f>
        <v>1.8290028165077268</v>
      </c>
      <c r="L81" s="29">
        <f>AF$3+AF$4*Bulkheads!$I40+AF$5*Bulkheads!$J40+AF$6*Bulkheads!$K40</f>
        <v>0.88363228919300996</v>
      </c>
      <c r="M81" s="29">
        <f>AG$3+AG$4*Bulkheads!$I40+AG$5*Bulkheads!$J40+AG$6*Bulkheads!$K40</f>
        <v>4.682317696979621E-2</v>
      </c>
      <c r="N81" s="29">
        <f>AH$3+AH$4*Bulkheads!$I40+AH$5*Bulkheads!$J40+AH$6*Bulkheads!$K40</f>
        <v>-0.40861432761147087</v>
      </c>
      <c r="O81" s="29">
        <f>AI$3+AI$4*Bulkheads!$I40+AI$5*Bulkheads!$J40+AI$6*Bulkheads!$K40</f>
        <v>-0.38242876290012284</v>
      </c>
      <c r="P81" s="29">
        <f>AJ$3+AJ$4*Bulkheads!$I40+AJ$5*Bulkheads!$J40+AJ$6*Bulkheads!$K40</f>
        <v>5.3072601854758261E-2</v>
      </c>
      <c r="Q81" s="29">
        <f>AK$3+AK$4*Bulkheads!$I40+AK$5*Bulkheads!$J40+AK$6*Bulkheads!$K40</f>
        <v>0.65302376650433192</v>
      </c>
      <c r="R81" s="29">
        <v>1</v>
      </c>
      <c r="S81" s="29">
        <f>AM$3+AM$4*Bulkheads!$I40+AM$5*Bulkheads!$J40+AM$6*Bulkheads!$K40</f>
        <v>0.50401784039336928</v>
      </c>
      <c r="T81" s="29">
        <f>AN$3+AN$4*Bulkheads!$I40+AN$5*Bulkheads!$J40+AN$6*Bulkheads!$K40</f>
        <v>-1.5974649051637035</v>
      </c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R81" s="29"/>
      <c r="AS81" s="29"/>
      <c r="AT81" s="29"/>
      <c r="AX81" s="29">
        <f>AL83</f>
        <v>5.9199579199846646</v>
      </c>
      <c r="AY81" s="29">
        <f>AL80</f>
        <v>5.9364157075602337</v>
      </c>
    </row>
    <row r="82" spans="1:51" x14ac:dyDescent="0.2">
      <c r="B82" s="28" t="s">
        <v>103</v>
      </c>
      <c r="C82" s="29">
        <f>Bulkheads!$R40*C$13+Bulkheads!$Q40-Bulkheads!$O40/(C$13+Bulkheads!$P40)</f>
        <v>0</v>
      </c>
      <c r="D82" s="29">
        <f>Bulkheads!$R40*D$13+Bulkheads!$Q40-Bulkheads!$O40/(D$13+Bulkheads!$P40)</f>
        <v>0.38544993837201025</v>
      </c>
      <c r="E82" s="29">
        <f>Bulkheads!$R40*E$13+Bulkheads!$Q40-Bulkheads!$O40/(E$13+Bulkheads!$P40)</f>
        <v>0.52718948564298473</v>
      </c>
      <c r="F82" s="29">
        <f>Bulkheads!$R40*F$13+Bulkheads!$Q40-Bulkheads!$O40/(F$13+Bulkheads!$P40)</f>
        <v>0.57376443856615966</v>
      </c>
      <c r="G82" s="29">
        <f>Bulkheads!$R40*G$13+Bulkheads!$Q40-Bulkheads!$O40/(G$13+Bulkheads!$P40)</f>
        <v>0.59991343059321611</v>
      </c>
      <c r="H82" s="29">
        <f>Bulkheads!$R40*H$13+Bulkheads!$Q40-Bulkheads!$O40/(H$13+Bulkheads!$P40)</f>
        <v>0.62603523385838988</v>
      </c>
      <c r="I82" s="29">
        <f>Bulkheads!$R40*I$13+Bulkheads!$Q40-Bulkheads!$O40/(I$13+Bulkheads!$P40)</f>
        <v>0.65697280804315894</v>
      </c>
      <c r="J82" s="29">
        <f>Bulkheads!$R40*J$13+Bulkheads!$Q40-Bulkheads!$O40/(J$13+Bulkheads!$P40)</f>
        <v>0.68208111225222601</v>
      </c>
      <c r="K82" s="29">
        <f>Bulkheads!$R40*K$13+Bulkheads!$Q40-Bulkheads!$O40/(K$13+Bulkheads!$P40)</f>
        <v>0.72622500800795353</v>
      </c>
      <c r="L82" s="29">
        <f>Bulkheads!$R40*L$13+Bulkheads!$Q40-Bulkheads!$O40/(L$13+Bulkheads!$P40)</f>
        <v>0.76725287861197145</v>
      </c>
      <c r="M82" s="29">
        <f>Bulkheads!$R40*M$13+Bulkheads!$Q40-Bulkheads!$O40/(M$13+Bulkheads!$P40)</f>
        <v>0.80701071813418257</v>
      </c>
      <c r="N82" s="29">
        <f>Bulkheads!$R40*N$13+Bulkheads!$Q40-Bulkheads!$O40/(N$13+Bulkheads!$P40)</f>
        <v>0.84612684226631052</v>
      </c>
      <c r="O82" s="29">
        <f>Bulkheads!$R40*O$13+Bulkheads!$Q40-Bulkheads!$O40/(O$13+Bulkheads!$P40)</f>
        <v>0.88487378099934078</v>
      </c>
      <c r="P82" s="29">
        <f>Bulkheads!$R40*P$13+Bulkheads!$Q40-Bulkheads!$O40/(P$13+Bulkheads!$P40)</f>
        <v>0.92338888044722234</v>
      </c>
      <c r="Q82" s="29">
        <f>Bulkheads!$R40*Q$13+Bulkheads!$Q40-Bulkheads!$O40/(Q$13+Bulkheads!$P40)</f>
        <v>0.96174887488361271</v>
      </c>
      <c r="R82" s="29">
        <v>1</v>
      </c>
      <c r="S82" s="29">
        <f>Bulkheads!$R40*S$13+Bulkheads!$Q40-Bulkheads!$O40/(S$13+Bulkheads!$P40)</f>
        <v>1.0381717757327464</v>
      </c>
      <c r="T82" s="29">
        <f>Bulkheads!$R40*T$13+Bulkheads!$Q40-Bulkheads!$O40/(T$13+Bulkheads!$P40)</f>
        <v>1.0762839342239787</v>
      </c>
      <c r="U82" s="36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R82" s="29"/>
      <c r="AS82" s="29"/>
      <c r="AT82" s="29"/>
      <c r="AV82" s="38"/>
      <c r="AW82" s="38"/>
      <c r="AX82" s="38"/>
      <c r="AY82" s="38"/>
    </row>
    <row r="83" spans="1:51" x14ac:dyDescent="0.2">
      <c r="C83" s="29">
        <f>IF(Bulkheads!$E40&lt;0.72,C81,C82)</f>
        <v>0</v>
      </c>
      <c r="D83" s="29">
        <f>IF(Bulkheads!$E40&lt;0.72,D81,D82)</f>
        <v>0.38544993837201025</v>
      </c>
      <c r="E83" s="29">
        <f>IF(Bulkheads!$E40&lt;0.72,E81,E82)</f>
        <v>0.52718948564298473</v>
      </c>
      <c r="F83" s="29">
        <f>IF(Bulkheads!$E40&lt;0.72,F81,F82)</f>
        <v>0.57376443856615966</v>
      </c>
      <c r="G83" s="29">
        <f>IF(Bulkheads!$E40&lt;0.72,G81,G82)</f>
        <v>0.59991343059321611</v>
      </c>
      <c r="H83" s="29">
        <f>IF(Bulkheads!$E40&lt;0.72,H81,H82)</f>
        <v>0.62603523385838988</v>
      </c>
      <c r="I83" s="29">
        <f>IF(Bulkheads!$E40&lt;0.72,I81,I82)</f>
        <v>0.65697280804315894</v>
      </c>
      <c r="J83" s="29">
        <f>IF(Bulkheads!$E40&lt;0.72,J81,J82)</f>
        <v>0.68208111225222601</v>
      </c>
      <c r="K83" s="29">
        <f>IF(Bulkheads!$E40&lt;0.72,K81,K82)</f>
        <v>0.72622500800795353</v>
      </c>
      <c r="L83" s="29">
        <f>IF(Bulkheads!$E40&lt;0.72,L81,L82)</f>
        <v>0.76725287861197145</v>
      </c>
      <c r="M83" s="29">
        <f>IF(Bulkheads!$E40&lt;0.72,M81,M82)</f>
        <v>0.80701071813418257</v>
      </c>
      <c r="N83" s="29">
        <f>IF(Bulkheads!$E40&lt;0.72,N81,N82)</f>
        <v>0.84612684226631052</v>
      </c>
      <c r="O83" s="29">
        <f>IF(Bulkheads!$E40&lt;0.72,O81,O82)</f>
        <v>0.88487378099934078</v>
      </c>
      <c r="P83" s="29">
        <f>IF(Bulkheads!$E40&lt;0.72,P81,P82)</f>
        <v>0.92338888044722234</v>
      </c>
      <c r="Q83" s="29">
        <f>IF(Bulkheads!$E40&lt;0.72,Q81,Q82)</f>
        <v>0.96174887488361271</v>
      </c>
      <c r="R83" s="29">
        <v>1</v>
      </c>
      <c r="S83" s="29">
        <f>IF(Bulkheads!$E40&lt;0.72,S81,S82)</f>
        <v>1.0381717757327464</v>
      </c>
      <c r="T83" s="29">
        <f>IF(Bulkheads!$E40&lt;0.72,T81,T82)</f>
        <v>1.0762839342239787</v>
      </c>
      <c r="U83" s="29"/>
      <c r="V83" s="29">
        <f>C83*Bulkheads!$T40</f>
        <v>0</v>
      </c>
      <c r="W83" s="29">
        <f>D83*Bulkheads!$T40</f>
        <v>2.1193592031598927</v>
      </c>
      <c r="X83" s="29">
        <f>E83*Bulkheads!$T40</f>
        <v>2.898700393949067</v>
      </c>
      <c r="Y83" s="29">
        <f>F83*Bulkheads!$T40</f>
        <v>3.1547882675945473</v>
      </c>
      <c r="Z83" s="29">
        <f>G83*Bulkheads!$T40</f>
        <v>3.2985659709714512</v>
      </c>
      <c r="AA83" s="29">
        <f>H83*Bulkheads!$T40</f>
        <v>3.4421941795709996</v>
      </c>
      <c r="AB83" s="29">
        <f>I83*Bulkheads!$T40</f>
        <v>3.6123014387623362</v>
      </c>
      <c r="AC83" s="29">
        <f>J83*Bulkheads!$T40</f>
        <v>3.7503570208334542</v>
      </c>
      <c r="AD83" s="29">
        <f>K83*Bulkheads!$T40</f>
        <v>3.9930779617898318</v>
      </c>
      <c r="AE83" s="29">
        <f>L83*Bulkheads!$T40</f>
        <v>4.2186657398497616</v>
      </c>
      <c r="AF83" s="29">
        <f>M83*Bulkheads!$T40</f>
        <v>4.4372703748512308</v>
      </c>
      <c r="AG83" s="29">
        <f>N83*Bulkheads!$T40</f>
        <v>4.6523465998508042</v>
      </c>
      <c r="AH83" s="29">
        <f>O83*Bulkheads!$T40</f>
        <v>4.8653928946432163</v>
      </c>
      <c r="AI83" s="29">
        <f>P83*Bulkheads!$T40</f>
        <v>5.0771644435510925</v>
      </c>
      <c r="AJ83" s="29">
        <f>Q83*Bulkheads!$T40</f>
        <v>5.2880831625559521</v>
      </c>
      <c r="AK83" s="29">
        <f>R83*Bulkheads!$T40</f>
        <v>5.4984032741352529</v>
      </c>
      <c r="AL83" s="29">
        <f>(2*AO83+2*AK83-4*AM83)*0.25^2+(4*AM83-3*AK83-AO83)*0.25+AK83</f>
        <v>5.9199579199846646</v>
      </c>
      <c r="AM83" s="29">
        <f>_xll.Spline('Mid Upr WL Opt1 Calcs'!$O$24:$O$44,'Cxx Selected'!$I$77:$I$97,Bulkheads!C40,TRUE)</f>
        <v>6.1883561626676524</v>
      </c>
      <c r="AN83" s="29">
        <f>(2*AO83+2*AK83-4*AM83)*0.75^2+(4*AM83-3*AK83-AO83)*0.75+AK83</f>
        <v>6.3035980021842164</v>
      </c>
      <c r="AO83" s="29">
        <f>_xll.Spline('CWD Opt1 Calcs'!$J$26:$J$46,'Cxx Selected'!$I$52:$I$72,Bulkheads!C40,TRUE)</f>
        <v>6.2656834385343565</v>
      </c>
      <c r="AR83" s="29"/>
      <c r="AS83" s="29"/>
      <c r="AT83" s="29"/>
      <c r="AV83" s="38"/>
      <c r="AW83" s="38"/>
      <c r="AX83" s="36">
        <f>AK83-AS80*AK80</f>
        <v>3.2709677903280596</v>
      </c>
      <c r="AY83" s="38">
        <v>0</v>
      </c>
    </row>
    <row r="84" spans="1:51" x14ac:dyDescent="0.2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>
        <f t="shared" ref="V84:AO84" si="20">-V83</f>
        <v>0</v>
      </c>
      <c r="W84" s="29">
        <f t="shared" si="20"/>
        <v>-2.1193592031598927</v>
      </c>
      <c r="X84" s="29">
        <f t="shared" si="20"/>
        <v>-2.898700393949067</v>
      </c>
      <c r="Y84" s="29">
        <f t="shared" si="20"/>
        <v>-3.1547882675945473</v>
      </c>
      <c r="Z84" s="29">
        <f t="shared" si="20"/>
        <v>-3.2985659709714512</v>
      </c>
      <c r="AA84" s="29">
        <f t="shared" si="20"/>
        <v>-3.4421941795709996</v>
      </c>
      <c r="AB84" s="29">
        <f t="shared" si="20"/>
        <v>-3.6123014387623362</v>
      </c>
      <c r="AC84" s="29">
        <f t="shared" si="20"/>
        <v>-3.7503570208334542</v>
      </c>
      <c r="AD84" s="29">
        <f t="shared" si="20"/>
        <v>-3.9930779617898318</v>
      </c>
      <c r="AE84" s="29">
        <f t="shared" si="20"/>
        <v>-4.2186657398497616</v>
      </c>
      <c r="AF84" s="29">
        <f t="shared" si="20"/>
        <v>-4.4372703748512308</v>
      </c>
      <c r="AG84" s="29">
        <f t="shared" si="20"/>
        <v>-4.6523465998508042</v>
      </c>
      <c r="AH84" s="29">
        <f t="shared" si="20"/>
        <v>-4.8653928946432163</v>
      </c>
      <c r="AI84" s="29">
        <f t="shared" si="20"/>
        <v>-5.0771644435510925</v>
      </c>
      <c r="AJ84" s="29">
        <f t="shared" si="20"/>
        <v>-5.2880831625559521</v>
      </c>
      <c r="AK84" s="29">
        <f t="shared" si="20"/>
        <v>-5.4984032741352529</v>
      </c>
      <c r="AL84" s="29">
        <f>(2*AO84+2*AK84-4*AM84)*0.25^2+(4*AM84-3*AK84-AO84)*0.25+AK84</f>
        <v>-5.9199579199846646</v>
      </c>
      <c r="AM84" s="29">
        <f t="shared" si="20"/>
        <v>-6.1883561626676524</v>
      </c>
      <c r="AN84" s="29">
        <f>(2*AO84+2*AK84-4*AM84)*0.75^2+(4*AM84-3*AK84-AO84)*0.75+AK84</f>
        <v>-6.3035980021842164</v>
      </c>
      <c r="AO84" s="29">
        <f t="shared" si="20"/>
        <v>-6.2656834385343565</v>
      </c>
      <c r="AR84" s="29"/>
      <c r="AS84" s="29"/>
      <c r="AT84" s="29"/>
      <c r="AV84" s="38"/>
      <c r="AW84" s="38"/>
      <c r="AX84" s="36">
        <f>AK83</f>
        <v>5.4984032741352529</v>
      </c>
      <c r="AY84" s="36">
        <f>AK80</f>
        <v>4.8514589937413639</v>
      </c>
    </row>
    <row r="85" spans="1:51" x14ac:dyDescent="0.2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R85" s="29"/>
      <c r="AS85" s="29"/>
      <c r="AT85" s="29"/>
    </row>
    <row r="86" spans="1:51" x14ac:dyDescent="0.2"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>
        <f>C$26*Bulkheads!$U41+($C$1-Bulkheads!$U41)</f>
        <v>0</v>
      </c>
      <c r="W86" s="29">
        <f>D$26*Bulkheads!$U41+($C$1-Bulkheads!$U41)</f>
        <v>4.8514589937413644E-2</v>
      </c>
      <c r="X86" s="29">
        <f>E$26*Bulkheads!$U41+($C$1-Bulkheads!$U41)</f>
        <v>0.1455437698122409</v>
      </c>
      <c r="Y86" s="29">
        <f>F$26*Bulkheads!$U41+($C$1-Bulkheads!$U41)</f>
        <v>0.24257294968706822</v>
      </c>
      <c r="Z86" s="29">
        <f>G$26*Bulkheads!$U41+($C$1-Bulkheads!$U41)</f>
        <v>0.3396021295618955</v>
      </c>
      <c r="AA86" s="29">
        <f>H$26*Bulkheads!$U41+($C$1-Bulkheads!$U41)</f>
        <v>0.48514589937413644</v>
      </c>
      <c r="AB86" s="29">
        <f>I$26*Bulkheads!$U41+($C$1-Bulkheads!$U41)</f>
        <v>0.72771884906120454</v>
      </c>
      <c r="AC86" s="29">
        <f>J$26*Bulkheads!$U41+($C$1-Bulkheads!$U41)</f>
        <v>0.97029179874827287</v>
      </c>
      <c r="AD86" s="29">
        <f>K$26*Bulkheads!$U41+($C$1-Bulkheads!$U41)</f>
        <v>1.4554376981224091</v>
      </c>
      <c r="AE86" s="29">
        <f>L$26*Bulkheads!$U41+($C$1-Bulkheads!$U41)</f>
        <v>1.9405835974965457</v>
      </c>
      <c r="AF86" s="29">
        <f>M$26*Bulkheads!$U41+($C$1-Bulkheads!$U41)</f>
        <v>2.425729496870682</v>
      </c>
      <c r="AG86" s="29">
        <f>N$26*Bulkheads!$U41+($C$1-Bulkheads!$U41)</f>
        <v>2.9108753962448182</v>
      </c>
      <c r="AH86" s="29">
        <f>O$26*Bulkheads!$U41+($C$1-Bulkheads!$U41)</f>
        <v>3.3960212956189544</v>
      </c>
      <c r="AI86" s="29">
        <f>P$26*Bulkheads!$U41+($C$1-Bulkheads!$U41)</f>
        <v>3.8811671949930915</v>
      </c>
      <c r="AJ86" s="29">
        <f>Q$26*Bulkheads!$U41+($C$1-Bulkheads!$U41)</f>
        <v>4.3663130943672277</v>
      </c>
      <c r="AK86" s="29">
        <f>R$26*Bulkheads!$U41+($C$1-Bulkheads!$U41)</f>
        <v>4.8514589937413639</v>
      </c>
      <c r="AL86" s="29">
        <f>(AM86+AK86)/2</f>
        <v>6.0108372154561538</v>
      </c>
      <c r="AM86" s="29">
        <f>(AO86+AK86)/2</f>
        <v>7.1702154371709437</v>
      </c>
      <c r="AN86" s="29">
        <f>(AO86+AM86)/2</f>
        <v>8.3295936588857344</v>
      </c>
      <c r="AO86" s="29">
        <f>(_xll.Spline('Profile Calcs'!$G$45:$G$65,'Profile Calcs'!$H$45:$H$65,Bulkheads!C41,TRUE))</f>
        <v>9.4889718806005234</v>
      </c>
      <c r="AR86" s="29">
        <f>-(-4*AM89+3*AK89+AO89)*(AO86-AK86)*Bulkheads!U41/Bulkheads!T41</f>
        <v>13.40348914148012</v>
      </c>
      <c r="AS86" s="29">
        <f>-(-4*AM89+3*AK89+AO89)/(AO86-AK86)</f>
        <v>0.54608302725312996</v>
      </c>
      <c r="AT86" s="29">
        <f>DEGREES(ATAN((AM89-AK89)/(AM86-AK86)))</f>
        <v>22.565826287275979</v>
      </c>
      <c r="AU86" s="28">
        <f>((AX90-AX89)/AX90)/(AY90/Bulkheads!$U$41)</f>
        <v>0.62322893438101246</v>
      </c>
      <c r="AV86" s="29">
        <f>AL86/COS(AT86*PI()/180)</f>
        <v>6.5091852310890346</v>
      </c>
      <c r="AW86" s="28">
        <f>AV86*SIN(AT86*PI()/180)</f>
        <v>2.4978647565300474</v>
      </c>
      <c r="AX86" s="29">
        <f>AL89-AW86</f>
        <v>2.3105142842237676</v>
      </c>
      <c r="AY86" s="28">
        <v>0</v>
      </c>
    </row>
    <row r="87" spans="1:51" x14ac:dyDescent="0.2">
      <c r="A87" s="28">
        <v>10</v>
      </c>
      <c r="B87" s="28" t="s">
        <v>104</v>
      </c>
      <c r="C87" s="29">
        <f>W$3+W$4*Bulkheads!$I41+W$5*Bulkheads!$J41+W$6*Bulkheads!$K41</f>
        <v>0</v>
      </c>
      <c r="D87" s="29">
        <f>X$3+X$4*Bulkheads!$I41+X$5*Bulkheads!$J41+X$6*Bulkheads!$K41</f>
        <v>4.6182363388389013E-2</v>
      </c>
      <c r="E87" s="29">
        <f>Y$3+Y$4*Bulkheads!$I41+Y$5*Bulkheads!$J41+Y$6*Bulkheads!$K41</f>
        <v>0.13304849457776255</v>
      </c>
      <c r="F87" s="29">
        <f>Z$3+Z$4*Bulkheads!$I41+Z$5*Bulkheads!$J41+Z$6*Bulkheads!$K41</f>
        <v>0.21291065105956697</v>
      </c>
      <c r="G87" s="29">
        <f>AA$3+AA$4*Bulkheads!$I41+AA$5*Bulkheads!$J41+AA$6*Bulkheads!$K41</f>
        <v>0.28615294851197798</v>
      </c>
      <c r="H87" s="29">
        <f>AB$3+AB$4*Bulkheads!$I41+AB$5*Bulkheads!$J41+AB$6*Bulkheads!$K41</f>
        <v>0.38441947189608539</v>
      </c>
      <c r="I87" s="29">
        <f>AC$3+AC$4*Bulkheads!$I41+AC$5*Bulkheads!$J41+AC$6*Bulkheads!$K41</f>
        <v>0.52025115708765579</v>
      </c>
      <c r="J87" s="29">
        <f>AD$3+AD$4*Bulkheads!$I41+AD$5*Bulkheads!$J41+AD$6*Bulkheads!$K41</f>
        <v>0.6257345256503879</v>
      </c>
      <c r="K87" s="29">
        <f>AE$3+AE$4*Bulkheads!$I41+AE$5*Bulkheads!$J41+AE$6*Bulkheads!$K41</f>
        <v>0.76499221114381988</v>
      </c>
      <c r="L87" s="29">
        <f>AF$3+AF$4*Bulkheads!$I41+AF$5*Bulkheads!$J41+AF$6*Bulkheads!$K41</f>
        <v>0.83690556926543569</v>
      </c>
      <c r="M87" s="29">
        <f>AG$3+AG$4*Bulkheads!$I41+AG$5*Bulkheads!$J41+AG$6*Bulkheads!$K41</f>
        <v>0.86985363191243226</v>
      </c>
      <c r="N87" s="29">
        <f>AH$3+AH$4*Bulkheads!$I41+AH$5*Bulkheads!$J41+AH$6*Bulkheads!$K41</f>
        <v>0.88588142199014941</v>
      </c>
      <c r="O87" s="29">
        <f>AI$3+AI$4*Bulkheads!$I41+AI$5*Bulkheads!$J41+AI$6*Bulkheads!$K41</f>
        <v>0.90069995341206865</v>
      </c>
      <c r="P87" s="29">
        <f>AJ$3+AJ$4*Bulkheads!$I41+AJ$5*Bulkheads!$J41+AJ$6*Bulkheads!$K41</f>
        <v>0.92368623109981518</v>
      </c>
      <c r="Q87" s="29">
        <f>AK$3+AK$4*Bulkheads!$I41+AK$5*Bulkheads!$J41+AK$6*Bulkheads!$K41</f>
        <v>0.95788325098315086</v>
      </c>
      <c r="R87" s="29">
        <v>1</v>
      </c>
      <c r="S87" s="29">
        <f>AM$3+AM$4*Bulkheads!$I41+AM$5*Bulkheads!$J41+AM$6*Bulkheads!$K41</f>
        <v>1.0404114560963988</v>
      </c>
      <c r="T87" s="29">
        <f>AN$3+AN$4*Bulkheads!$I41+AN$5*Bulkheads!$J41+AN$6*Bulkheads!$K41</f>
        <v>1.0631585882265555</v>
      </c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R87" s="29"/>
      <c r="AS87" s="29"/>
      <c r="AT87" s="29"/>
      <c r="AX87" s="29">
        <f>AL89</f>
        <v>4.8083790407538149</v>
      </c>
      <c r="AY87" s="29">
        <f>AL86</f>
        <v>6.0108372154561538</v>
      </c>
    </row>
    <row r="88" spans="1:51" x14ac:dyDescent="0.2">
      <c r="B88" s="28" t="s">
        <v>103</v>
      </c>
      <c r="C88" s="29">
        <f>Bulkheads!$R41*C$13+Bulkheads!$Q41-Bulkheads!$O41/(C$13+Bulkheads!$P41)</f>
        <v>0</v>
      </c>
      <c r="D88" s="29">
        <f>Bulkheads!$R41*D$13+Bulkheads!$Q41-Bulkheads!$O41/(D$13+Bulkheads!$P41)</f>
        <v>0.28307275862724679</v>
      </c>
      <c r="E88" s="29">
        <f>Bulkheads!$R41*E$13+Bulkheads!$Q41-Bulkheads!$O41/(E$13+Bulkheads!$P41)</f>
        <v>0.43863997552652928</v>
      </c>
      <c r="F88" s="29">
        <f>Bulkheads!$R41*F$13+Bulkheads!$Q41-Bulkheads!$O41/(F$13+Bulkheads!$P41)</f>
        <v>0.4973974404294168</v>
      </c>
      <c r="G88" s="29">
        <f>Bulkheads!$R41*G$13+Bulkheads!$Q41-Bulkheads!$O41/(G$13+Bulkheads!$P41)</f>
        <v>0.5312855359436367</v>
      </c>
      <c r="H88" s="29">
        <f>Bulkheads!$R41*H$13+Bulkheads!$Q41-Bulkheads!$O41/(H$13+Bulkheads!$P41)</f>
        <v>0.56496256310792548</v>
      </c>
      <c r="I88" s="29">
        <f>Bulkheads!$R41*I$13+Bulkheads!$Q41-Bulkheads!$O41/(I$13+Bulkheads!$P41)</f>
        <v>0.60380390507600712</v>
      </c>
      <c r="J88" s="29">
        <f>Bulkheads!$R41*J$13+Bulkheads!$Q41-Bulkheads!$O41/(J$13+Bulkheads!$P41)</f>
        <v>0.63436624849930956</v>
      </c>
      <c r="K88" s="29">
        <f>Bulkheads!$R41*K$13+Bulkheads!$Q41-Bulkheads!$O41/(K$13+Bulkheads!$P41)</f>
        <v>0.68663956359952694</v>
      </c>
      <c r="L88" s="29">
        <f>Bulkheads!$R41*L$13+Bulkheads!$Q41-Bulkheads!$O41/(L$13+Bulkheads!$P41)</f>
        <v>0.73429429312811978</v>
      </c>
      <c r="M88" s="29">
        <f>Bulkheads!$R41*M$13+Bulkheads!$Q41-Bulkheads!$O41/(M$13+Bulkheads!$P41)</f>
        <v>0.78004330703462676</v>
      </c>
      <c r="N88" s="29">
        <f>Bulkheads!$R41*N$13+Bulkheads!$Q41-Bulkheads!$O41/(N$13+Bulkheads!$P41)</f>
        <v>0.82482270438414906</v>
      </c>
      <c r="O88" s="29">
        <f>Bulkheads!$R41*O$13+Bulkheads!$Q41-Bulkheads!$O41/(O$13+Bulkheads!$P41)</f>
        <v>0.86904175480020451</v>
      </c>
      <c r="P88" s="29">
        <f>Bulkheads!$R41*P$13+Bulkheads!$Q41-Bulkheads!$O41/(P$13+Bulkheads!$P41)</f>
        <v>0.91290780433471042</v>
      </c>
      <c r="Q88" s="29">
        <f>Bulkheads!$R41*Q$13+Bulkheads!$Q41-Bulkheads!$O41/(Q$13+Bulkheads!$P41)</f>
        <v>0.95653713213728475</v>
      </c>
      <c r="R88" s="29">
        <v>1</v>
      </c>
      <c r="S88" s="29">
        <f>Bulkheads!$R41*S$13+Bulkheads!$Q41-Bulkheads!$O41/(S$13+Bulkheads!$P41)</f>
        <v>1.0433413670562459</v>
      </c>
      <c r="T88" s="29">
        <f>Bulkheads!$R41*T$13+Bulkheads!$Q41-Bulkheads!$O41/(T$13+Bulkheads!$P41)</f>
        <v>1.0865913390201285</v>
      </c>
      <c r="U88" s="36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R88" s="29"/>
      <c r="AS88" s="29"/>
      <c r="AT88" s="29"/>
      <c r="AV88" s="38"/>
      <c r="AW88" s="38"/>
      <c r="AX88" s="38"/>
      <c r="AY88" s="38"/>
    </row>
    <row r="89" spans="1:51" x14ac:dyDescent="0.2">
      <c r="C89" s="29">
        <f>IF(Bulkheads!$E41&lt;0.72,C87,C88)</f>
        <v>0</v>
      </c>
      <c r="D89" s="29">
        <f>IF(Bulkheads!$E41&lt;0.72,D87,D88)</f>
        <v>0.28307275862724679</v>
      </c>
      <c r="E89" s="29">
        <f>IF(Bulkheads!$E41&lt;0.72,E87,E88)</f>
        <v>0.43863997552652928</v>
      </c>
      <c r="F89" s="29">
        <f>IF(Bulkheads!$E41&lt;0.72,F87,F88)</f>
        <v>0.4973974404294168</v>
      </c>
      <c r="G89" s="29">
        <f>IF(Bulkheads!$E41&lt;0.72,G87,G88)</f>
        <v>0.5312855359436367</v>
      </c>
      <c r="H89" s="29">
        <f>IF(Bulkheads!$E41&lt;0.72,H87,H88)</f>
        <v>0.56496256310792548</v>
      </c>
      <c r="I89" s="29">
        <f>IF(Bulkheads!$E41&lt;0.72,I87,I88)</f>
        <v>0.60380390507600712</v>
      </c>
      <c r="J89" s="29">
        <f>IF(Bulkheads!$E41&lt;0.72,J87,J88)</f>
        <v>0.63436624849930956</v>
      </c>
      <c r="K89" s="29">
        <f>IF(Bulkheads!$E41&lt;0.72,K87,K88)</f>
        <v>0.68663956359952694</v>
      </c>
      <c r="L89" s="29">
        <f>IF(Bulkheads!$E41&lt;0.72,L87,L88)</f>
        <v>0.73429429312811978</v>
      </c>
      <c r="M89" s="29">
        <f>IF(Bulkheads!$E41&lt;0.72,M87,M88)</f>
        <v>0.78004330703462676</v>
      </c>
      <c r="N89" s="29">
        <f>IF(Bulkheads!$E41&lt;0.72,N87,N88)</f>
        <v>0.82482270438414906</v>
      </c>
      <c r="O89" s="29">
        <f>IF(Bulkheads!$E41&lt;0.72,O87,O88)</f>
        <v>0.86904175480020451</v>
      </c>
      <c r="P89" s="29">
        <f>IF(Bulkheads!$E41&lt;0.72,P87,P88)</f>
        <v>0.91290780433471042</v>
      </c>
      <c r="Q89" s="29">
        <f>IF(Bulkheads!$E41&lt;0.72,Q87,Q88)</f>
        <v>0.95653713213728475</v>
      </c>
      <c r="R89" s="29">
        <v>1</v>
      </c>
      <c r="S89" s="29">
        <f>IF(Bulkheads!$E41&lt;0.72,S87,S88)</f>
        <v>1.0433413670562459</v>
      </c>
      <c r="T89" s="29">
        <f>IF(Bulkheads!$E41&lt;0.72,T87,T88)</f>
        <v>1.0865913390201285</v>
      </c>
      <c r="U89" s="29"/>
      <c r="V89" s="29">
        <f>C89*Bulkheads!$T41</f>
        <v>0</v>
      </c>
      <c r="W89" s="29">
        <f>D89*Bulkheads!$T41</f>
        <v>1.2033210464885264</v>
      </c>
      <c r="X89" s="29">
        <f>E89*Bulkheads!$T41</f>
        <v>1.8646256070063247</v>
      </c>
      <c r="Y89" s="29">
        <f>F89*Bulkheads!$T41</f>
        <v>2.1143991793515866</v>
      </c>
      <c r="Z89" s="29">
        <f>G89*Bulkheads!$T41</f>
        <v>2.2584549293835825</v>
      </c>
      <c r="AA89" s="29">
        <f>H89*Bulkheads!$T41</f>
        <v>2.4016134437050449</v>
      </c>
      <c r="AB89" s="29">
        <f>I89*Bulkheads!$T41</f>
        <v>2.5667250725693278</v>
      </c>
      <c r="AC89" s="29">
        <f>J89*Bulkheads!$T41</f>
        <v>2.6966433001289691</v>
      </c>
      <c r="AD89" s="29">
        <f>K89*Bulkheads!$T41</f>
        <v>2.9188532384319603</v>
      </c>
      <c r="AE89" s="29">
        <f>L89*Bulkheads!$T41</f>
        <v>3.1214299161898689</v>
      </c>
      <c r="AF89" s="29">
        <f>M89*Bulkheads!$T41</f>
        <v>3.3159055399014661</v>
      </c>
      <c r="AG89" s="29">
        <f>N89*Bulkheads!$T41</f>
        <v>3.5062593964189972</v>
      </c>
      <c r="AH89" s="29">
        <f>O89*Bulkheads!$T41</f>
        <v>3.6942312601879297</v>
      </c>
      <c r="AI89" s="29">
        <f>P89*Bulkheads!$T41</f>
        <v>3.8807025437093756</v>
      </c>
      <c r="AJ89" s="29">
        <f>Q89*Bulkheads!$T41</f>
        <v>4.0661675409192179</v>
      </c>
      <c r="AK89" s="29">
        <f>R89*Bulkheads!$T41</f>
        <v>4.2509249294209637</v>
      </c>
      <c r="AL89" s="29">
        <f>(2*AO89+2*AK89-4*AM89)*0.25^2+(4*AM89-3*AK89-AO89)*0.25+AK89</f>
        <v>4.8083790407538149</v>
      </c>
      <c r="AM89" s="29">
        <f>_xll.Spline('Mid Upr WL Opt1 Calcs'!$O$24:$O$44,'Cxx Selected'!$I$77:$I$97,Bulkheads!C41,TRUE)</f>
        <v>5.2145078366616424</v>
      </c>
      <c r="AN89" s="29">
        <f>(2*AO89+2*AK89-4*AM89)*0.75^2+(4*AM89-3*AK89-AO89)*0.75+AK89</f>
        <v>5.469311317144447</v>
      </c>
      <c r="AO89" s="29">
        <f>_xll.Spline('CWD Opt1 Calcs'!$J$26:$J$46,'Cxx Selected'!$I$52:$I$72,Bulkheads!C41,TRUE)</f>
        <v>5.5727894822022277</v>
      </c>
      <c r="AR89" s="29"/>
      <c r="AS89" s="29"/>
      <c r="AT89" s="29"/>
      <c r="AV89" s="38"/>
      <c r="AW89" s="38"/>
      <c r="AX89" s="36">
        <f>AK89-AS86*AK86</f>
        <v>1.601625515524256</v>
      </c>
      <c r="AY89" s="38">
        <v>0</v>
      </c>
    </row>
    <row r="90" spans="1:51" x14ac:dyDescent="0.2"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>
        <f t="shared" ref="V90:AO90" si="21">-V89</f>
        <v>0</v>
      </c>
      <c r="W90" s="29">
        <f t="shared" si="21"/>
        <v>-1.2033210464885264</v>
      </c>
      <c r="X90" s="29">
        <f t="shared" si="21"/>
        <v>-1.8646256070063247</v>
      </c>
      <c r="Y90" s="29">
        <f t="shared" si="21"/>
        <v>-2.1143991793515866</v>
      </c>
      <c r="Z90" s="29">
        <f t="shared" si="21"/>
        <v>-2.2584549293835825</v>
      </c>
      <c r="AA90" s="29">
        <f t="shared" si="21"/>
        <v>-2.4016134437050449</v>
      </c>
      <c r="AB90" s="29">
        <f t="shared" si="21"/>
        <v>-2.5667250725693278</v>
      </c>
      <c r="AC90" s="29">
        <f t="shared" si="21"/>
        <v>-2.6966433001289691</v>
      </c>
      <c r="AD90" s="29">
        <f t="shared" si="21"/>
        <v>-2.9188532384319603</v>
      </c>
      <c r="AE90" s="29">
        <f t="shared" si="21"/>
        <v>-3.1214299161898689</v>
      </c>
      <c r="AF90" s="29">
        <f t="shared" si="21"/>
        <v>-3.3159055399014661</v>
      </c>
      <c r="AG90" s="29">
        <f t="shared" si="21"/>
        <v>-3.5062593964189972</v>
      </c>
      <c r="AH90" s="29">
        <f t="shared" si="21"/>
        <v>-3.6942312601879297</v>
      </c>
      <c r="AI90" s="29">
        <f t="shared" si="21"/>
        <v>-3.8807025437093756</v>
      </c>
      <c r="AJ90" s="29">
        <f t="shared" si="21"/>
        <v>-4.0661675409192179</v>
      </c>
      <c r="AK90" s="29">
        <f t="shared" si="21"/>
        <v>-4.2509249294209637</v>
      </c>
      <c r="AL90" s="29">
        <f>(2*AO90+2*AK90-4*AM90)*0.25^2+(4*AM90-3*AK90-AO90)*0.25+AK90</f>
        <v>-4.8083790407538149</v>
      </c>
      <c r="AM90" s="29">
        <f t="shared" si="21"/>
        <v>-5.2145078366616424</v>
      </c>
      <c r="AN90" s="29">
        <f>(2*AO90+2*AK90-4*AM90)*0.75^2+(4*AM90-3*AK90-AO90)*0.75+AK90</f>
        <v>-5.469311317144447</v>
      </c>
      <c r="AO90" s="29">
        <f t="shared" si="21"/>
        <v>-5.5727894822022277</v>
      </c>
      <c r="AR90" s="29"/>
      <c r="AS90" s="29"/>
      <c r="AT90" s="29"/>
      <c r="AV90" s="38"/>
      <c r="AW90" s="38"/>
      <c r="AX90" s="36">
        <f>AK89</f>
        <v>4.2509249294209637</v>
      </c>
      <c r="AY90" s="36">
        <f>AK86</f>
        <v>4.8514589937413639</v>
      </c>
    </row>
    <row r="91" spans="1:51" x14ac:dyDescent="0.2"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R91" s="29"/>
      <c r="AS91" s="29"/>
      <c r="AT91" s="29"/>
    </row>
    <row r="92" spans="1:51" x14ac:dyDescent="0.2"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>
        <f>C$26*Bulkheads!$U42+($C$1-Bulkheads!$U42)</f>
        <v>0</v>
      </c>
      <c r="W92" s="29">
        <f>D$26*Bulkheads!$U42+($C$1-Bulkheads!$U42)</f>
        <v>4.8514589937413644E-2</v>
      </c>
      <c r="X92" s="29">
        <f>E$26*Bulkheads!$U42+($C$1-Bulkheads!$U42)</f>
        <v>0.1455437698122409</v>
      </c>
      <c r="Y92" s="29">
        <f>F$26*Bulkheads!$U42+($C$1-Bulkheads!$U42)</f>
        <v>0.24257294968706822</v>
      </c>
      <c r="Z92" s="29">
        <f>G$26*Bulkheads!$U42+($C$1-Bulkheads!$U42)</f>
        <v>0.3396021295618955</v>
      </c>
      <c r="AA92" s="29">
        <f>H$26*Bulkheads!$U42+($C$1-Bulkheads!$U42)</f>
        <v>0.48514589937413644</v>
      </c>
      <c r="AB92" s="29">
        <f>I$26*Bulkheads!$U42+($C$1-Bulkheads!$U42)</f>
        <v>0.72771884906120454</v>
      </c>
      <c r="AC92" s="29">
        <f>J$26*Bulkheads!$U42+($C$1-Bulkheads!$U42)</f>
        <v>0.97029179874827287</v>
      </c>
      <c r="AD92" s="29">
        <f>K$26*Bulkheads!$U42+($C$1-Bulkheads!$U42)</f>
        <v>1.4554376981224091</v>
      </c>
      <c r="AE92" s="29">
        <f>L$26*Bulkheads!$U42+($C$1-Bulkheads!$U42)</f>
        <v>1.9405835974965457</v>
      </c>
      <c r="AF92" s="29">
        <f>M$26*Bulkheads!$U42+($C$1-Bulkheads!$U42)</f>
        <v>2.425729496870682</v>
      </c>
      <c r="AG92" s="29">
        <f>N$26*Bulkheads!$U42+($C$1-Bulkheads!$U42)</f>
        <v>2.9108753962448182</v>
      </c>
      <c r="AH92" s="29">
        <f>O$26*Bulkheads!$U42+($C$1-Bulkheads!$U42)</f>
        <v>3.3960212956189544</v>
      </c>
      <c r="AI92" s="29">
        <f>P$26*Bulkheads!$U42+($C$1-Bulkheads!$U42)</f>
        <v>3.8811671949930915</v>
      </c>
      <c r="AJ92" s="29">
        <f>Q$26*Bulkheads!$U42+($C$1-Bulkheads!$U42)</f>
        <v>4.3663130943672277</v>
      </c>
      <c r="AK92" s="29">
        <f>R$26*Bulkheads!$U42+($C$1-Bulkheads!$U42)</f>
        <v>4.8514589937413639</v>
      </c>
      <c r="AL92" s="29">
        <f>(AM92+AK92)/2</f>
        <v>6.1157594930830559</v>
      </c>
      <c r="AM92" s="29">
        <f>(AO92+AK92)/2</f>
        <v>7.3800599924247479</v>
      </c>
      <c r="AN92" s="29">
        <f>(AO92+AM92)/2</f>
        <v>8.6443604917664398</v>
      </c>
      <c r="AO92" s="29">
        <f>(_xll.Spline('Profile Calcs'!$G$45:$G$65,'Profile Calcs'!$H$45:$H$65,Bulkheads!C42,TRUE))</f>
        <v>9.9086609911081318</v>
      </c>
      <c r="AR92" s="29">
        <f>-(-4*AM95+3*AK95+AO95)*(AO92-AK92)*Bulkheads!U42/Bulkheads!T42</f>
        <v>18.291915082242078</v>
      </c>
      <c r="AS92" s="29">
        <f>-(-4*AM95+3*AK95+AO95)/(AO92-AK92)</f>
        <v>0.42864891610777422</v>
      </c>
      <c r="AT92" s="29">
        <f>DEGREES(ATAN((AM95-AK95)/(AM92-AK92)))</f>
        <v>20.745298457043997</v>
      </c>
      <c r="AU92" s="28">
        <f>((AX96-AX95)/AX96)/(AY96/Bulkheads!$U$42)</f>
        <v>0.71521822906581156</v>
      </c>
      <c r="AV92" s="29">
        <f>AL92/COS(AT92*PI()/180)</f>
        <v>6.5397702116239849</v>
      </c>
      <c r="AW92" s="28">
        <f>AV92*SIN(AT92*PI()/180)</f>
        <v>2.3164801409916937</v>
      </c>
      <c r="AX92" s="29">
        <f>AL95-AW92</f>
        <v>1.101537122429646</v>
      </c>
      <c r="AY92" s="28">
        <v>0</v>
      </c>
    </row>
    <row r="93" spans="1:51" x14ac:dyDescent="0.2">
      <c r="A93" s="28">
        <v>9</v>
      </c>
      <c r="B93" s="28" t="s">
        <v>104</v>
      </c>
      <c r="C93" s="29">
        <f>W$3+W$4*Bulkheads!$I42+W$5*Bulkheads!$J42+W$6*Bulkheads!$K42</f>
        <v>0</v>
      </c>
      <c r="D93" s="29">
        <f>X$3+X$4*Bulkheads!$I42+X$5*Bulkheads!$J42+X$6*Bulkheads!$K42</f>
        <v>3.9574797430184123E-3</v>
      </c>
      <c r="E93" s="29">
        <f>Y$3+Y$4*Bulkheads!$I42+Y$5*Bulkheads!$J42+Y$6*Bulkheads!$K42</f>
        <v>1.6340305202593303E-2</v>
      </c>
      <c r="F93" s="29">
        <f>Z$3+Z$4*Bulkheads!$I42+Z$5*Bulkheads!$J42+Z$6*Bulkheads!$K42</f>
        <v>3.4170550861207877E-2</v>
      </c>
      <c r="G93" s="29">
        <f>AA$3+AA$4*Bulkheads!$I42+AA$5*Bulkheads!$J42+AA$6*Bulkheads!$K42</f>
        <v>5.6856680714047231E-2</v>
      </c>
      <c r="H93" s="29">
        <f>AB$3+AB$4*Bulkheads!$I42+AB$5*Bulkheads!$J42+AB$6*Bulkheads!$K42</f>
        <v>9.875333204256545E-2</v>
      </c>
      <c r="I93" s="29">
        <f>AC$3+AC$4*Bulkheads!$I42+AC$5*Bulkheads!$J42+AC$6*Bulkheads!$K42</f>
        <v>0.18513513453128824</v>
      </c>
      <c r="J93" s="29">
        <f>AD$3+AD$4*Bulkheads!$I42+AD$5*Bulkheads!$J42+AD$6*Bulkheads!$K42</f>
        <v>0.28560209368951955</v>
      </c>
      <c r="K93" s="29">
        <f>AE$3+AE$4*Bulkheads!$I42+AE$5*Bulkheads!$J42+AE$6*Bulkheads!$K42</f>
        <v>0.50243274533771243</v>
      </c>
      <c r="L93" s="29">
        <f>AF$3+AF$4*Bulkheads!$I42+AF$5*Bulkheads!$J42+AF$6*Bulkheads!$K42</f>
        <v>0.70552125738282723</v>
      </c>
      <c r="M93" s="29">
        <f>AG$3+AG$4*Bulkheads!$I42+AG$5*Bulkheads!$J42+AG$6*Bulkheads!$K42</f>
        <v>0.86553311021937895</v>
      </c>
      <c r="N93" s="29">
        <f>AH$3+AH$4*Bulkheads!$I42+AH$5*Bulkheads!$J42+AH$6*Bulkheads!$K42</f>
        <v>0.96752329424071515</v>
      </c>
      <c r="O93" s="29">
        <f>AI$3+AI$4*Bulkheads!$I42+AI$5*Bulkheads!$J42+AI$6*Bulkheads!$K42</f>
        <v>1.0109363098390167</v>
      </c>
      <c r="P93" s="29">
        <f>AJ$3+AJ$4*Bulkheads!$I42+AJ$5*Bulkheads!$J42+AJ$6*Bulkheads!$K42</f>
        <v>1.0096061674052972</v>
      </c>
      <c r="Q93" s="29">
        <f>AK$3+AK$4*Bulkheads!$I42+AK$5*Bulkheads!$J42+AK$6*Bulkheads!$K42</f>
        <v>0.99175638732939453</v>
      </c>
      <c r="R93" s="29">
        <v>1</v>
      </c>
      <c r="S93" s="29">
        <f>AM$3+AM$4*Bulkheads!$I42+AM$5*Bulkheads!$J42+AM$6*Bulkheads!$K42</f>
        <v>1.0913395458046098</v>
      </c>
      <c r="T93" s="29">
        <f>AN$3+AN$4*Bulkheads!$I42+AN$5*Bulkheads!$J42+AN$6*Bulkheads!$K42</f>
        <v>1.3371670751295792</v>
      </c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R93" s="29"/>
      <c r="AS93" s="29"/>
      <c r="AT93" s="29"/>
      <c r="AX93" s="29">
        <f>AL95</f>
        <v>3.4180172634213397</v>
      </c>
      <c r="AY93" s="29">
        <f>AL92</f>
        <v>6.1157594930830559</v>
      </c>
    </row>
    <row r="94" spans="1:51" x14ac:dyDescent="0.2">
      <c r="B94" s="28" t="s">
        <v>103</v>
      </c>
      <c r="C94" s="29" t="e">
        <f>Bulkheads!$R42*C$13+Bulkheads!$Q42-Bulkheads!$O42/(C$13+Bulkheads!$P42)</f>
        <v>#DIV/0!</v>
      </c>
      <c r="D94" s="29">
        <f>Bulkheads!$R42*D$13+Bulkheads!$Q42-Bulkheads!$O42/(D$13+Bulkheads!$P42)</f>
        <v>0.61298890293611585</v>
      </c>
      <c r="E94" s="29">
        <f>Bulkheads!$R42*E$13+Bulkheads!$Q42-Bulkheads!$O42/(E$13+Bulkheads!$P42)</f>
        <v>0.62080730893740643</v>
      </c>
      <c r="F94" s="29">
        <f>Bulkheads!$R42*F$13+Bulkheads!$Q42-Bulkheads!$O42/(F$13+Bulkheads!$P42)</f>
        <v>0.62862571493869701</v>
      </c>
      <c r="G94" s="29">
        <f>Bulkheads!$R42*G$13+Bulkheads!$Q42-Bulkheads!$O42/(G$13+Bulkheads!$P42)</f>
        <v>0.63644412093998759</v>
      </c>
      <c r="H94" s="29">
        <f>Bulkheads!$R42*H$13+Bulkheads!$Q42-Bulkheads!$O42/(H$13+Bulkheads!$P42)</f>
        <v>0.6481717299419234</v>
      </c>
      <c r="I94" s="29">
        <f>Bulkheads!$R42*I$13+Bulkheads!$Q42-Bulkheads!$O42/(I$13+Bulkheads!$P42)</f>
        <v>0.6677177449451499</v>
      </c>
      <c r="J94" s="29">
        <f>Bulkheads!$R42*J$13+Bulkheads!$Q42-Bulkheads!$O42/(J$13+Bulkheads!$P42)</f>
        <v>0.68726375994837641</v>
      </c>
      <c r="K94" s="29">
        <f>Bulkheads!$R42*K$13+Bulkheads!$Q42-Bulkheads!$O42/(K$13+Bulkheads!$P42)</f>
        <v>0.72635578995482941</v>
      </c>
      <c r="L94" s="29">
        <f>Bulkheads!$R42*L$13+Bulkheads!$Q42-Bulkheads!$O42/(L$13+Bulkheads!$P42)</f>
        <v>0.76544781996128231</v>
      </c>
      <c r="M94" s="29">
        <f>Bulkheads!$R42*M$13+Bulkheads!$Q42-Bulkheads!$O42/(M$13+Bulkheads!$P42)</f>
        <v>0.8045398499677352</v>
      </c>
      <c r="N94" s="29">
        <f>Bulkheads!$R42*N$13+Bulkheads!$Q42-Bulkheads!$O42/(N$13+Bulkheads!$P42)</f>
        <v>0.8436318799741882</v>
      </c>
      <c r="O94" s="29">
        <f>Bulkheads!$R42*O$13+Bulkheads!$Q42-Bulkheads!$O42/(O$13+Bulkheads!$P42)</f>
        <v>0.88272390998064121</v>
      </c>
      <c r="P94" s="29">
        <f>Bulkheads!$R42*P$13+Bulkheads!$Q42-Bulkheads!$O42/(P$13+Bulkheads!$P42)</f>
        <v>0.9218159399870941</v>
      </c>
      <c r="Q94" s="29">
        <f>Bulkheads!$R42*Q$13+Bulkheads!$Q42-Bulkheads!$O42/(Q$13+Bulkheads!$P42)</f>
        <v>0.960907969993547</v>
      </c>
      <c r="R94" s="29">
        <v>1</v>
      </c>
      <c r="S94" s="29">
        <f>Bulkheads!$R42*S$13+Bulkheads!$Q42-Bulkheads!$O42/(S$13+Bulkheads!$P42)</f>
        <v>1.039092030006453</v>
      </c>
      <c r="T94" s="29">
        <f>Bulkheads!$R42*T$13+Bulkheads!$Q42-Bulkheads!$O42/(T$13+Bulkheads!$P42)</f>
        <v>1.078184060012906</v>
      </c>
      <c r="U94" s="36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R94" s="29"/>
      <c r="AS94" s="29"/>
      <c r="AT94" s="29"/>
      <c r="AV94" s="38"/>
      <c r="AW94" s="38"/>
      <c r="AX94" s="38"/>
      <c r="AY94" s="38"/>
    </row>
    <row r="95" spans="1:51" x14ac:dyDescent="0.2">
      <c r="C95" s="29">
        <f>IF(Bulkheads!$E42&lt;0.72,C93,C94)</f>
        <v>0</v>
      </c>
      <c r="D95" s="29">
        <f>IF(Bulkheads!$E42&lt;0.72,D93,D94)</f>
        <v>3.9574797430184123E-3</v>
      </c>
      <c r="E95" s="29">
        <f>IF(Bulkheads!$E42&lt;0.72,E93,E94)</f>
        <v>1.6340305202593303E-2</v>
      </c>
      <c r="F95" s="29">
        <f>IF(Bulkheads!$E42&lt;0.72,F93,F94)</f>
        <v>3.4170550861207877E-2</v>
      </c>
      <c r="G95" s="29">
        <f>IF(Bulkheads!$E42&lt;0.72,G93,G94)</f>
        <v>5.6856680714047231E-2</v>
      </c>
      <c r="H95" s="29">
        <f>IF(Bulkheads!$E42&lt;0.72,H93,H94)</f>
        <v>9.875333204256545E-2</v>
      </c>
      <c r="I95" s="29">
        <f>IF(Bulkheads!$E42&lt;0.72,I93,I94)</f>
        <v>0.18513513453128824</v>
      </c>
      <c r="J95" s="29">
        <f>IF(Bulkheads!$E42&lt;0.72,J93,J94)</f>
        <v>0.28560209368951955</v>
      </c>
      <c r="K95" s="29">
        <f>IF(Bulkheads!$E42&lt;0.72,K93,K94)</f>
        <v>0.50243274533771243</v>
      </c>
      <c r="L95" s="29">
        <f>IF(Bulkheads!$E42&lt;0.72,L93,L94)</f>
        <v>0.70552125738282723</v>
      </c>
      <c r="M95" s="29">
        <f>IF(Bulkheads!$E42&lt;0.72,M93,M94)</f>
        <v>0.86553311021937895</v>
      </c>
      <c r="N95" s="29">
        <f>IF(Bulkheads!$E42&lt;0.72,N93,N94)</f>
        <v>0.96752329424071515</v>
      </c>
      <c r="O95" s="29">
        <f>IF(Bulkheads!$E42&lt;0.72,O93,O94)</f>
        <v>1.0109363098390167</v>
      </c>
      <c r="P95" s="29">
        <f>IF(Bulkheads!$E42&lt;0.72,P93,P94)</f>
        <v>1.0096061674052972</v>
      </c>
      <c r="Q95" s="29">
        <f>IF(Bulkheads!$E42&lt;0.72,Q93,Q94)</f>
        <v>0.99175638732939453</v>
      </c>
      <c r="R95" s="29">
        <v>1</v>
      </c>
      <c r="S95" s="29">
        <f>IF(Bulkheads!$E42&lt;0.72,S93,S94)</f>
        <v>1.0913395458046098</v>
      </c>
      <c r="T95" s="29">
        <f>IF(Bulkheads!$E42&lt;0.72,T93,T94)</f>
        <v>1.3371670751295792</v>
      </c>
      <c r="U95" s="29"/>
      <c r="V95" s="29">
        <f>C95*Bulkheads!$T42</f>
        <v>0</v>
      </c>
      <c r="W95" s="29">
        <f>D95*Bulkheads!$T42</f>
        <v>1.150679087773347E-2</v>
      </c>
      <c r="X95" s="29">
        <f>E95*Bulkheads!$T42</f>
        <v>4.7511165452276731E-2</v>
      </c>
      <c r="Y95" s="29">
        <f>F95*Bulkheads!$T42</f>
        <v>9.935449034970463E-2</v>
      </c>
      <c r="Z95" s="29">
        <f>G95*Bulkheads!$T42</f>
        <v>0.1653168120778829</v>
      </c>
      <c r="AA95" s="29">
        <f>H95*Bulkheads!$T42</f>
        <v>0.28713575661324359</v>
      </c>
      <c r="AB95" s="29">
        <f>I95*Bulkheads!$T42</f>
        <v>0.53829998269246349</v>
      </c>
      <c r="AC95" s="29">
        <f>J95*Bulkheads!$T42</f>
        <v>0.83041829136985013</v>
      </c>
      <c r="AD95" s="29">
        <f>K95*Bulkheads!$T42</f>
        <v>1.460876342052239</v>
      </c>
      <c r="AE95" s="29">
        <f>L95*Bulkheads!$T42</f>
        <v>2.0513776685330196</v>
      </c>
      <c r="AF95" s="29">
        <f>M95*Bulkheads!$T42</f>
        <v>2.5166290527749875</v>
      </c>
      <c r="AG95" s="29">
        <f>N95*Bulkheads!$T42</f>
        <v>2.8131762988311273</v>
      </c>
      <c r="AH95" s="29">
        <f>O95*Bulkheads!$T42</f>
        <v>2.9394042328446135</v>
      </c>
      <c r="AI95" s="29">
        <f>P95*Bulkheads!$T42</f>
        <v>2.9355367030488106</v>
      </c>
      <c r="AJ95" s="29">
        <f>Q95*Bulkheads!$T42</f>
        <v>2.8836365797672472</v>
      </c>
      <c r="AK95" s="29">
        <f>R95*Bulkheads!$T42</f>
        <v>2.9076057554137011</v>
      </c>
      <c r="AL95" s="29">
        <f>(2*AO95+2*AK95-4*AM95)*0.25^2+(4*AM95-3*AK95-AO95)*0.25+AK95</f>
        <v>3.4180172634213397</v>
      </c>
      <c r="AM95" s="29">
        <f>_xll.Spline('Mid Upr WL Opt1 Calcs'!$O$24:$O$44,'Cxx Selected'!$I$77:$I$97,Bulkheads!C42,TRUE)</f>
        <v>3.8653697100895879</v>
      </c>
      <c r="AN95" s="29">
        <f>(2*AO95+2*AK95-4*AM95)*0.75^2+(4*AM95-3*AK95-AO95)*0.75+AK95</f>
        <v>4.2496630954184447</v>
      </c>
      <c r="AO95" s="36">
        <f>_xll.Spline('CWD Opt1 Calcs'!$J$26:$J$46,'Cxx Selected'!$I$52:$I$72,Bulkheads!C42,TRUE)</f>
        <v>4.5708974194079124</v>
      </c>
      <c r="AR95" s="29"/>
      <c r="AS95" s="29"/>
      <c r="AT95" s="29"/>
      <c r="AV95" s="38"/>
      <c r="AW95" s="38"/>
      <c r="AX95" s="36">
        <f>AK95-AS92*AK92</f>
        <v>0.82803311620515263</v>
      </c>
      <c r="AY95" s="38">
        <v>0</v>
      </c>
    </row>
    <row r="96" spans="1:51" x14ac:dyDescent="0.2"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36"/>
      <c r="AR96" s="29"/>
      <c r="AS96" s="29"/>
      <c r="AT96" s="29"/>
      <c r="AV96" s="38"/>
      <c r="AW96" s="38"/>
      <c r="AX96" s="36">
        <f>AK95</f>
        <v>2.9076057554137011</v>
      </c>
      <c r="AY96" s="36">
        <f>AK92</f>
        <v>4.8514589937413639</v>
      </c>
    </row>
    <row r="97" spans="1:51" x14ac:dyDescent="0.2"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>
        <f>C$26*Bulkheads!$U43+($C$1-Bulkheads!$U43)</f>
        <v>0</v>
      </c>
      <c r="W97" s="29">
        <f>D$26*Bulkheads!$U43+($C$1-Bulkheads!$U43)</f>
        <v>4.8514589937413644E-2</v>
      </c>
      <c r="X97" s="29">
        <f>E$26*Bulkheads!$U43+($C$1-Bulkheads!$U43)</f>
        <v>0.1455437698122409</v>
      </c>
      <c r="Y97" s="29">
        <f>F$26*Bulkheads!$U43+($C$1-Bulkheads!$U43)</f>
        <v>0.24257294968706822</v>
      </c>
      <c r="Z97" s="29">
        <f>G$26*Bulkheads!$U43+($C$1-Bulkheads!$U43)</f>
        <v>0.3396021295618955</v>
      </c>
      <c r="AA97" s="29">
        <f>H$26*Bulkheads!$U43+($C$1-Bulkheads!$U43)</f>
        <v>0.48514589937413644</v>
      </c>
      <c r="AB97" s="29">
        <f>I$26*Bulkheads!$U43+($C$1-Bulkheads!$U43)</f>
        <v>0.72771884906120454</v>
      </c>
      <c r="AC97" s="29">
        <f>J$26*Bulkheads!$U43+($C$1-Bulkheads!$U43)</f>
        <v>0.97029179874827287</v>
      </c>
      <c r="AD97" s="29">
        <f>K$26*Bulkheads!$U43+($C$1-Bulkheads!$U43)</f>
        <v>1.4554376981224091</v>
      </c>
      <c r="AE97" s="29">
        <f>L$26*Bulkheads!$U43+($C$1-Bulkheads!$U43)</f>
        <v>1.9405835974965457</v>
      </c>
      <c r="AF97" s="29">
        <f>M$26*Bulkheads!$U43+($C$1-Bulkheads!$U43)</f>
        <v>2.425729496870682</v>
      </c>
      <c r="AG97" s="29">
        <f>N$26*Bulkheads!$U43+($C$1-Bulkheads!$U43)</f>
        <v>2.9108753962448182</v>
      </c>
      <c r="AH97" s="29">
        <f>O$26*Bulkheads!$U43+($C$1-Bulkheads!$U43)</f>
        <v>3.3960212956189544</v>
      </c>
      <c r="AI97" s="29">
        <f>P$26*Bulkheads!$U43+($C$1-Bulkheads!$U43)</f>
        <v>3.8811671949930915</v>
      </c>
      <c r="AJ97" s="29">
        <f>Q$26*Bulkheads!$U43+($C$1-Bulkheads!$U43)</f>
        <v>4.3663130943672277</v>
      </c>
      <c r="AK97" s="29">
        <f>R$26*Bulkheads!$U43+($C$1-Bulkheads!$U43)</f>
        <v>4.8514589937413639</v>
      </c>
      <c r="AL97" s="29">
        <f>(AM97+AK97)/2</f>
        <v>6.2512364253329924</v>
      </c>
      <c r="AM97" s="29">
        <f>(AO97+AK97)/2</f>
        <v>7.6510138569246209</v>
      </c>
      <c r="AN97" s="29">
        <f>(AO97+AM97)/2</f>
        <v>9.0507912885162494</v>
      </c>
      <c r="AO97" s="36">
        <f>(_xll.Spline('Profile Calcs'!$G$45:$G$65,'Profile Calcs'!$H$45:$H$65,Bulkheads!C43,TRUE))</f>
        <v>10.450568720107878</v>
      </c>
      <c r="AR97" s="29">
        <f>-(-4*AM100+3*AK100+AO100)*(AO97-AK97)*Bulkheads!U43/Bulkheads!T43</f>
        <v>16.449213130401137</v>
      </c>
      <c r="AS97" s="29">
        <f>-(-4*AM100+3*AK100+AO100)/(AO97-AK97)</f>
        <v>0.16887237224457113</v>
      </c>
      <c r="AT97" s="29">
        <f>DEGREES(ATAN((AM100-AK100)/(AM97-AK97)))</f>
        <v>12.867461250586754</v>
      </c>
      <c r="AU97" s="28">
        <f>((AX101-AX100)/AX101)/(AY101/Bulkheads!$U$43)</f>
        <v>0.52469529608663457</v>
      </c>
      <c r="AV97" s="29">
        <f>AL97/COS(AT97*PI()/180)</f>
        <v>6.4122622936441962</v>
      </c>
      <c r="AW97" s="28">
        <f>AV97*SIN(AT97*PI()/180)</f>
        <v>1.4279884022922296</v>
      </c>
      <c r="AX97" s="29">
        <f>AL100-AW97</f>
        <v>0.41151571098381168</v>
      </c>
      <c r="AY97" s="28">
        <v>0</v>
      </c>
    </row>
    <row r="98" spans="1:51" x14ac:dyDescent="0.2">
      <c r="A98" s="28">
        <v>8</v>
      </c>
      <c r="B98" s="28" t="s">
        <v>104</v>
      </c>
      <c r="C98" s="29">
        <f>W$3+W$4*Bulkheads!$I43+W$5*Bulkheads!$J43+W$6*Bulkheads!$K43</f>
        <v>0</v>
      </c>
      <c r="D98" s="29">
        <f>X$3+X$4*Bulkheads!$I43+X$5*Bulkheads!$J43+X$6*Bulkheads!$K43</f>
        <v>2.7578501414496142E-4</v>
      </c>
      <c r="E98" s="29">
        <f>Y$3+Y$4*Bulkheads!$I43+Y$5*Bulkheads!$J43+Y$6*Bulkheads!$K43</f>
        <v>3.3917158070939026E-3</v>
      </c>
      <c r="F98" s="29">
        <f>Z$3+Z$4*Bulkheads!$I43+Z$5*Bulkheads!$J43+Z$6*Bulkheads!$K43</f>
        <v>9.7264690743705563E-3</v>
      </c>
      <c r="G98" s="29">
        <f>AA$3+AA$4*Bulkheads!$I43+AA$5*Bulkheads!$J43+AA$6*Bulkheads!$K43</f>
        <v>1.9045365269921927E-2</v>
      </c>
      <c r="H98" s="29">
        <f>AB$3+AB$4*Bulkheads!$I43+AB$5*Bulkheads!$J43+AB$6*Bulkheads!$K43</f>
        <v>3.8121677413608467E-2</v>
      </c>
      <c r="I98" s="29">
        <f>AC$3+AC$4*Bulkheads!$I43+AC$5*Bulkheads!$J43+AC$6*Bulkheads!$K43</f>
        <v>8.1697216742139714E-2</v>
      </c>
      <c r="J98" s="29">
        <f>AD$3+AD$4*Bulkheads!$I43+AD$5*Bulkheads!$J43+AD$6*Bulkheads!$K43</f>
        <v>0.13721962111511146</v>
      </c>
      <c r="K98" s="29">
        <f>AE$3+AE$4*Bulkheads!$I43+AE$5*Bulkheads!$J43+AE$6*Bulkheads!$K43</f>
        <v>0.27244587286856653</v>
      </c>
      <c r="L98" s="29">
        <f>AF$3+AF$4*Bulkheads!$I43+AF$5*Bulkheads!$J43+AF$6*Bulkheads!$K43</f>
        <v>0.42303155172956408</v>
      </c>
      <c r="M98" s="29">
        <f>AG$3+AG$4*Bulkheads!$I43+AG$5*Bulkheads!$J43+AG$6*Bulkheads!$K43</f>
        <v>0.57228685404522539</v>
      </c>
      <c r="N98" s="29">
        <f>AH$3+AH$4*Bulkheads!$I43+AH$5*Bulkheads!$J43+AH$6*Bulkheads!$K43</f>
        <v>0.70760105345420421</v>
      </c>
      <c r="O98" s="29">
        <f>AI$3+AI$4*Bulkheads!$I43+AI$5*Bulkheads!$J43+AI$6*Bulkheads!$K43</f>
        <v>0.82044250088668746</v>
      </c>
      <c r="P98" s="29">
        <f>AJ$3+AJ$4*Bulkheads!$I43+AJ$5*Bulkheads!$J43+AJ$6*Bulkheads!$K43</f>
        <v>0.90635862456439353</v>
      </c>
      <c r="Q98" s="29">
        <f>AK$3+AK$4*Bulkheads!$I43+AK$5*Bulkheads!$J43+AK$6*Bulkheads!$K43</f>
        <v>0.96497593000056692</v>
      </c>
      <c r="R98" s="29">
        <v>1</v>
      </c>
      <c r="S98" s="29">
        <f>AM$3+AM$4*Bulkheads!$I43+AM$5*Bulkheads!$J43+AM$6*Bulkheads!$K43</f>
        <v>1.019215494658998</v>
      </c>
      <c r="T98" s="29">
        <f>AN$3+AN$4*Bulkheads!$I43+AN$5*Bulkheads!$J43+AN$6*Bulkheads!$K43</f>
        <v>1.034486151365412</v>
      </c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36"/>
      <c r="AR98" s="29"/>
      <c r="AS98" s="29"/>
      <c r="AT98" s="29"/>
      <c r="AX98" s="29">
        <f>AL100</f>
        <v>1.8395041132760412</v>
      </c>
      <c r="AY98" s="29">
        <f>AL97</f>
        <v>6.2512364253329924</v>
      </c>
    </row>
    <row r="99" spans="1:51" x14ac:dyDescent="0.2">
      <c r="B99" s="28" t="s">
        <v>103</v>
      </c>
      <c r="C99" s="29" t="e">
        <f>Bulkheads!$R43*C$13+Bulkheads!$Q43-Bulkheads!$O43/(C$13+Bulkheads!$P43)</f>
        <v>#DIV/0!</v>
      </c>
      <c r="D99" s="29">
        <f>Bulkheads!$R43*D$13+Bulkheads!$Q43-Bulkheads!$O43/(D$13+Bulkheads!$P43)</f>
        <v>0.7477240828652072</v>
      </c>
      <c r="E99" s="29">
        <f>Bulkheads!$R43*E$13+Bulkheads!$Q43-Bulkheads!$O43/(E$13+Bulkheads!$P43)</f>
        <v>0.75282056603964742</v>
      </c>
      <c r="F99" s="29">
        <f>Bulkheads!$R43*F$13+Bulkheads!$Q43-Bulkheads!$O43/(F$13+Bulkheads!$P43)</f>
        <v>0.75791704921408776</v>
      </c>
      <c r="G99" s="29">
        <f>Bulkheads!$R43*G$13+Bulkheads!$Q43-Bulkheads!$O43/(G$13+Bulkheads!$P43)</f>
        <v>0.76301353238852798</v>
      </c>
      <c r="H99" s="29">
        <f>Bulkheads!$R43*H$13+Bulkheads!$Q43-Bulkheads!$O43/(H$13+Bulkheads!$P43)</f>
        <v>0.77065825715018832</v>
      </c>
      <c r="I99" s="29">
        <f>Bulkheads!$R43*I$13+Bulkheads!$Q43-Bulkheads!$O43/(I$13+Bulkheads!$P43)</f>
        <v>0.78339946508628899</v>
      </c>
      <c r="J99" s="29">
        <f>Bulkheads!$R43*J$13+Bulkheads!$Q43-Bulkheads!$O43/(J$13+Bulkheads!$P43)</f>
        <v>0.79614067302238967</v>
      </c>
      <c r="K99" s="29">
        <f>Bulkheads!$R43*K$13+Bulkheads!$Q43-Bulkheads!$O43/(K$13+Bulkheads!$P43)</f>
        <v>0.82162308889459101</v>
      </c>
      <c r="L99" s="29">
        <f>Bulkheads!$R43*L$13+Bulkheads!$Q43-Bulkheads!$O43/(L$13+Bulkheads!$P43)</f>
        <v>0.84710550476679225</v>
      </c>
      <c r="M99" s="29">
        <f>Bulkheads!$R43*M$13+Bulkheads!$Q43-Bulkheads!$O43/(M$13+Bulkheads!$P43)</f>
        <v>0.87258792063899349</v>
      </c>
      <c r="N99" s="29">
        <f>Bulkheads!$R43*N$13+Bulkheads!$Q43-Bulkheads!$O43/(N$13+Bulkheads!$P43)</f>
        <v>0.89807033651119483</v>
      </c>
      <c r="O99" s="29">
        <f>Bulkheads!$R43*O$13+Bulkheads!$Q43-Bulkheads!$O43/(O$13+Bulkheads!$P43)</f>
        <v>0.92355275238339618</v>
      </c>
      <c r="P99" s="29">
        <f>Bulkheads!$R43*P$13+Bulkheads!$Q43-Bulkheads!$O43/(P$13+Bulkheads!$P43)</f>
        <v>0.94903516825559742</v>
      </c>
      <c r="Q99" s="29">
        <f>Bulkheads!$R43*Q$13+Bulkheads!$Q43-Bulkheads!$O43/(Q$13+Bulkheads!$P43)</f>
        <v>0.97451758412779865</v>
      </c>
      <c r="R99" s="29">
        <v>1</v>
      </c>
      <c r="S99" s="29">
        <f>Bulkheads!$R43*S$13+Bulkheads!$Q43-Bulkheads!$O43/(S$13+Bulkheads!$P43)</f>
        <v>1.0254824158722013</v>
      </c>
      <c r="T99" s="29">
        <f>Bulkheads!$R43*T$13+Bulkheads!$Q43-Bulkheads!$O43/(T$13+Bulkheads!$P43)</f>
        <v>1.0509648317444027</v>
      </c>
      <c r="U99" s="36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36"/>
      <c r="AR99" s="29"/>
      <c r="AS99" s="29"/>
      <c r="AT99" s="29"/>
      <c r="AV99" s="38"/>
      <c r="AW99" s="38"/>
      <c r="AX99" s="38"/>
      <c r="AY99" s="38"/>
    </row>
    <row r="100" spans="1:51" x14ac:dyDescent="0.2">
      <c r="C100" s="29">
        <f>IF(Bulkheads!$E43&lt;0.72,C98,C99)</f>
        <v>0</v>
      </c>
      <c r="D100" s="29">
        <f>IF(Bulkheads!$E43&lt;0.72,D98,D99)</f>
        <v>2.7578501414496142E-4</v>
      </c>
      <c r="E100" s="29">
        <f>IF(Bulkheads!$E43&lt;0.72,E98,E99)</f>
        <v>3.3917158070939026E-3</v>
      </c>
      <c r="F100" s="29">
        <f>IF(Bulkheads!$E43&lt;0.72,F98,F99)</f>
        <v>9.7264690743705563E-3</v>
      </c>
      <c r="G100" s="29">
        <f>IF(Bulkheads!$E43&lt;0.72,G98,G99)</f>
        <v>1.9045365269921927E-2</v>
      </c>
      <c r="H100" s="29">
        <f>IF(Bulkheads!$E43&lt;0.72,H98,H99)</f>
        <v>3.8121677413608467E-2</v>
      </c>
      <c r="I100" s="29">
        <f>IF(Bulkheads!$E43&lt;0.72,I98,I99)</f>
        <v>8.1697216742139714E-2</v>
      </c>
      <c r="J100" s="29">
        <f>IF(Bulkheads!$E43&lt;0.72,J98,J99)</f>
        <v>0.13721962111511146</v>
      </c>
      <c r="K100" s="29">
        <f>IF(Bulkheads!$E43&lt;0.72,K98,K99)</f>
        <v>0.27244587286856653</v>
      </c>
      <c r="L100" s="29">
        <f>IF(Bulkheads!$E43&lt;0.72,L98,L99)</f>
        <v>0.42303155172956408</v>
      </c>
      <c r="M100" s="29">
        <f>IF(Bulkheads!$E43&lt;0.72,M98,M99)</f>
        <v>0.57228685404522539</v>
      </c>
      <c r="N100" s="29">
        <f>IF(Bulkheads!$E43&lt;0.72,N98,N99)</f>
        <v>0.70760105345420421</v>
      </c>
      <c r="O100" s="29">
        <f>IF(Bulkheads!$E43&lt;0.72,O98,O99)</f>
        <v>0.82044250088668746</v>
      </c>
      <c r="P100" s="29">
        <f>IF(Bulkheads!$E43&lt;0.72,P98,P99)</f>
        <v>0.90635862456439353</v>
      </c>
      <c r="Q100" s="29">
        <f>IF(Bulkheads!$E43&lt;0.72,Q98,Q99)</f>
        <v>0.96497593000056692</v>
      </c>
      <c r="R100" s="29">
        <v>1</v>
      </c>
      <c r="S100" s="29">
        <f>IF(Bulkheads!$E43&lt;0.72,S98,S99)</f>
        <v>1.019215494658998</v>
      </c>
      <c r="T100" s="29">
        <f>IF(Bulkheads!$E43&lt;0.72,T98,T99)</f>
        <v>1.034486151365412</v>
      </c>
      <c r="U100" s="29"/>
      <c r="V100" s="29">
        <f>C100*Bulkheads!$T43</f>
        <v>0</v>
      </c>
      <c r="W100" s="29">
        <f>D100*Bulkheads!$T43</f>
        <v>4.3062026290759825E-4</v>
      </c>
      <c r="X100" s="29">
        <f>E100*Bulkheads!$T43</f>
        <v>5.2959424103839296E-3</v>
      </c>
      <c r="Y100" s="29">
        <f>F100*Bulkheads!$T43</f>
        <v>1.5187245336566794E-2</v>
      </c>
      <c r="Z100" s="29">
        <f>G100*Bulkheads!$T43</f>
        <v>2.9738092278625932E-2</v>
      </c>
      <c r="AA100" s="29">
        <f>H100*Bulkheads!$T43</f>
        <v>5.9524506076671632E-2</v>
      </c>
      <c r="AB100" s="29">
        <f>I100*Bulkheads!$T43</f>
        <v>0.12756486084420546</v>
      </c>
      <c r="AC100" s="29">
        <f>J100*Bulkheads!$T43</f>
        <v>0.21425946403893781</v>
      </c>
      <c r="AD100" s="29">
        <f>K100*Bulkheads!$T43</f>
        <v>0.42540641218846176</v>
      </c>
      <c r="AE100" s="29">
        <f>L100*Bulkheads!$T43</f>
        <v>0.66053610124095385</v>
      </c>
      <c r="AF100" s="29">
        <f>M100*Bulkheads!$T43</f>
        <v>0.89358849432616894</v>
      </c>
      <c r="AG100" s="29">
        <f>N100*Bulkheads!$T43</f>
        <v>1.1048727669879082</v>
      </c>
      <c r="AH100" s="29">
        <f>O100*Bulkheads!$T43</f>
        <v>1.2810673071840206</v>
      </c>
      <c r="AI100" s="29">
        <f>P100*Bulkheads!$T43</f>
        <v>1.4152197152864006</v>
      </c>
      <c r="AJ100" s="29">
        <f>Q100*Bulkheads!$T43</f>
        <v>1.5067468040809791</v>
      </c>
      <c r="AK100" s="29">
        <f>R100*Bulkheads!$T43</f>
        <v>1.5614345987677578</v>
      </c>
      <c r="AL100" s="29">
        <f>(2*AO100+2*AK100-4*AM100)*0.25^2+(4*AM100-3*AK100-AO100)*0.25+AK100</f>
        <v>1.8395041132760412</v>
      </c>
      <c r="AM100" s="29">
        <f>_xll.Spline('Mid Upr WL Opt1 Calcs'!$O$24:$O$44,'Cxx Selected'!$I$77:$I$97,Bulkheads!C43,TRUE)</f>
        <v>2.2009451858263089</v>
      </c>
      <c r="AN100" s="29">
        <f>(2*AO100+2*AK100-4*AM100)*0.75^2+(4*AM100-3*AK100-AO100)*0.75+AK100</f>
        <v>2.6457578164185604</v>
      </c>
      <c r="AO100" s="36">
        <f>_xll.Spline('CWD Opt1 Calcs'!$J$26:$J$46,'Cxx Selected'!$I$52:$I$72,Bulkheads!C43,TRUE)</f>
        <v>3.1739420050527971</v>
      </c>
      <c r="AR100" s="29"/>
      <c r="AS100" s="29"/>
      <c r="AT100" s="29"/>
      <c r="AV100" s="38"/>
      <c r="AW100" s="38"/>
      <c r="AX100" s="36">
        <f>AK100-AS97*AK97</f>
        <v>0.74215720964739373</v>
      </c>
      <c r="AY100" s="38">
        <v>0</v>
      </c>
    </row>
    <row r="101" spans="1:51" x14ac:dyDescent="0.2"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36"/>
      <c r="AR101" s="29"/>
      <c r="AS101" s="29"/>
      <c r="AT101" s="29"/>
      <c r="AV101" s="38"/>
      <c r="AW101" s="38"/>
      <c r="AX101" s="36">
        <f>AK100</f>
        <v>1.5614345987677578</v>
      </c>
      <c r="AY101" s="36">
        <f>AK97</f>
        <v>4.8514589937413639</v>
      </c>
    </row>
    <row r="102" spans="1:51" x14ac:dyDescent="0.2"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36"/>
      <c r="AR102" s="29"/>
      <c r="AS102" s="29"/>
      <c r="AT102" s="29"/>
      <c r="AV102" s="38"/>
      <c r="AW102" s="38"/>
      <c r="AX102" s="36"/>
      <c r="AY102" s="36"/>
    </row>
    <row r="103" spans="1:51" x14ac:dyDescent="0.2">
      <c r="A103" s="29"/>
      <c r="B103" s="62" t="s">
        <v>105</v>
      </c>
      <c r="C103" s="62" t="s">
        <v>143</v>
      </c>
      <c r="D103" s="62" t="s">
        <v>105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36"/>
      <c r="AL103" s="36"/>
      <c r="AM103" s="36"/>
      <c r="AN103" s="36"/>
      <c r="AO103" s="36"/>
      <c r="AR103" s="29"/>
      <c r="AS103" s="29"/>
      <c r="AT103" s="29"/>
      <c r="AV103" s="29"/>
      <c r="AX103" s="29"/>
    </row>
    <row r="104" spans="1:51" x14ac:dyDescent="0.2">
      <c r="A104" s="28">
        <f>Bulkheads!C31</f>
        <v>19.499999999999996</v>
      </c>
      <c r="B104" s="29">
        <f>Bulkheads!G31</f>
        <v>44.178664028995975</v>
      </c>
      <c r="C104" s="30">
        <f>Bulkheads!F31</f>
        <v>2.836822755727848</v>
      </c>
      <c r="D104" s="28">
        <f>Bulkheads!Y31</f>
        <v>86.65936833102468</v>
      </c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36"/>
      <c r="AL104" s="36"/>
      <c r="AM104" s="36"/>
      <c r="AN104" s="36"/>
      <c r="AO104" s="36"/>
      <c r="AX104" s="29"/>
      <c r="AY104" s="29"/>
    </row>
    <row r="105" spans="1:51" x14ac:dyDescent="0.2">
      <c r="A105" s="28">
        <f>Bulkheads!C32</f>
        <v>17.999999999999996</v>
      </c>
      <c r="B105" s="29">
        <f>Bulkheads!G32</f>
        <v>36.858886281317474</v>
      </c>
      <c r="C105" s="30">
        <f>Bulkheads!F32</f>
        <v>5.2719322788055427</v>
      </c>
      <c r="D105" s="28">
        <f>Bulkheads!Y32</f>
        <v>84.809683910803969</v>
      </c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36"/>
      <c r="AL105" s="36"/>
      <c r="AM105" s="36"/>
      <c r="AN105" s="36"/>
      <c r="AO105" s="36"/>
      <c r="AV105" s="38"/>
      <c r="AW105" s="38"/>
      <c r="AX105" s="38"/>
      <c r="AY105" s="38"/>
    </row>
    <row r="106" spans="1:51" x14ac:dyDescent="0.2">
      <c r="A106" s="28">
        <f>Bulkheads!C33</f>
        <v>16.499999999999996</v>
      </c>
      <c r="B106" s="29">
        <f>Bulkheads!G33</f>
        <v>31.519148620029629</v>
      </c>
      <c r="C106" s="30">
        <f>Bulkheads!F33</f>
        <v>2.424002916601975</v>
      </c>
      <c r="D106" s="28">
        <f>Bulkheads!Y33</f>
        <v>39.062703625688521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36"/>
      <c r="AL106" s="36"/>
      <c r="AM106" s="36"/>
      <c r="AN106" s="36"/>
      <c r="AO106" s="36"/>
      <c r="AV106" s="38"/>
      <c r="AW106" s="38"/>
      <c r="AX106" s="36"/>
      <c r="AY106" s="38"/>
    </row>
    <row r="107" spans="1:51" x14ac:dyDescent="0.2">
      <c r="A107" s="28">
        <f>Bulkheads!C34</f>
        <v>14.999999999999996</v>
      </c>
      <c r="B107" s="29">
        <f>Bulkheads!G34</f>
        <v>26.910017201086866</v>
      </c>
      <c r="C107" s="30">
        <f>Bulkheads!F34</f>
        <v>0</v>
      </c>
      <c r="D107" s="28">
        <f>Bulkheads!Y34</f>
        <v>17.572825218214959</v>
      </c>
      <c r="AV107" s="38"/>
      <c r="AW107" s="38"/>
      <c r="AX107" s="36"/>
      <c r="AY107" s="36"/>
    </row>
    <row r="108" spans="1:51" x14ac:dyDescent="0.2">
      <c r="A108" s="28">
        <f>Bulkheads!C35</f>
        <v>13.499999999999996</v>
      </c>
      <c r="B108" s="29">
        <f>Bulkheads!G35</f>
        <v>17.454802825531356</v>
      </c>
      <c r="C108" s="30">
        <f>Bulkheads!F35</f>
        <v>2.3689571878713774E-3</v>
      </c>
      <c r="D108" s="28">
        <f>Bulkheads!Y35</f>
        <v>12.947775532792562</v>
      </c>
    </row>
    <row r="109" spans="1:51" x14ac:dyDescent="0.2">
      <c r="A109" s="28">
        <f>Bulkheads!C36</f>
        <v>11.999999999999995</v>
      </c>
      <c r="B109" s="29">
        <f>Bulkheads!G36</f>
        <v>13.35150633328322</v>
      </c>
      <c r="C109" s="30">
        <f>Bulkheads!F36</f>
        <v>0</v>
      </c>
      <c r="D109" s="28">
        <f>Bulkheads!Y36</f>
        <v>10.576189299472148</v>
      </c>
    </row>
    <row r="110" spans="1:51" x14ac:dyDescent="0.2">
      <c r="A110" s="28">
        <f>Bulkheads!C37</f>
        <v>10.499999999999995</v>
      </c>
      <c r="B110" s="29">
        <f>Bulkheads!G37</f>
        <v>9.3701564376146766</v>
      </c>
      <c r="C110" s="30">
        <f>Bulkheads!F37</f>
        <v>0.39183068663704379</v>
      </c>
      <c r="D110" s="28">
        <f>Bulkheads!Y37</f>
        <v>9.2853542060078809</v>
      </c>
    </row>
    <row r="111" spans="1:51" x14ac:dyDescent="0.2">
      <c r="A111" s="28">
        <f>Bulkheads!C38</f>
        <v>8.9999999999999947</v>
      </c>
      <c r="B111" s="29">
        <f>Bulkheads!G38</f>
        <v>5.5467527921985189</v>
      </c>
      <c r="C111" s="30">
        <f>Bulkheads!F38</f>
        <v>6.7412857962523844</v>
      </c>
      <c r="D111" s="28">
        <f>Bulkheads!Y38</f>
        <v>6.9527269261775047</v>
      </c>
    </row>
    <row r="112" spans="1:51" x14ac:dyDescent="0.2">
      <c r="A112" s="28">
        <f>Bulkheads!C39</f>
        <v>7.4999999999999964</v>
      </c>
      <c r="B112" s="29">
        <f>Bulkheads!G39</f>
        <v>2.5677073914577004</v>
      </c>
      <c r="C112" s="30">
        <f>Bulkheads!F39</f>
        <v>14.748927961666768</v>
      </c>
      <c r="D112" s="28">
        <f>Bulkheads!Y39</f>
        <v>3.7148804664759894</v>
      </c>
    </row>
    <row r="113" spans="1:4" x14ac:dyDescent="0.2">
      <c r="A113" s="28">
        <f>Bulkheads!C40</f>
        <v>5.9999999999999964</v>
      </c>
      <c r="B113" s="29">
        <f>Bulkheads!G40</f>
        <v>1.7512762740252528</v>
      </c>
      <c r="C113" s="30">
        <f>Bulkheads!F40</f>
        <v>20.910610859423571</v>
      </c>
      <c r="D113" s="28">
        <f>Bulkheads!Y40</f>
        <v>1.4861315101293542</v>
      </c>
    </row>
    <row r="114" spans="1:4" x14ac:dyDescent="0.2">
      <c r="A114" s="28">
        <f>Bulkheads!C41</f>
        <v>4.4999999999999964</v>
      </c>
      <c r="B114" s="29">
        <f>Bulkheads!G41</f>
        <v>11.980847265464313</v>
      </c>
      <c r="C114" s="30">
        <f>Bulkheads!F41</f>
        <v>23.45896649579937</v>
      </c>
      <c r="D114" s="28">
        <f>Bulkheads!Y41</f>
        <v>2.0232241055927886</v>
      </c>
    </row>
    <row r="115" spans="1:4" x14ac:dyDescent="0.2">
      <c r="A115" s="28">
        <f>Bulkheads!C42</f>
        <v>3</v>
      </c>
      <c r="B115" s="29">
        <f>Bulkheads!G42</f>
        <v>72.392092148085126</v>
      </c>
      <c r="C115" s="30">
        <f>Bulkheads!F42</f>
        <v>21.351537351515862</v>
      </c>
      <c r="D115" s="28">
        <f>Bulkheads!Y42</f>
        <v>0.93461231240077325</v>
      </c>
    </row>
    <row r="116" spans="1:4" x14ac:dyDescent="0.2">
      <c r="A116" s="28">
        <f>Bulkheads!C43</f>
        <v>1.5</v>
      </c>
      <c r="B116" s="29">
        <f>Bulkheads!G43</f>
        <v>90.956107786831041</v>
      </c>
      <c r="C116" s="30">
        <f>Bulkheads!F43</f>
        <v>14.296091611234276</v>
      </c>
      <c r="D116" s="28">
        <f>Bulkheads!Y43</f>
        <v>0.76622333272950982</v>
      </c>
    </row>
    <row r="123" spans="1:4" x14ac:dyDescent="0.2">
      <c r="D123" s="30"/>
    </row>
    <row r="125" spans="1:4" x14ac:dyDescent="0.2">
      <c r="D125" s="30"/>
    </row>
    <row r="127" spans="1:4" x14ac:dyDescent="0.2">
      <c r="D127" s="30"/>
    </row>
    <row r="128" spans="1:4" x14ac:dyDescent="0.2">
      <c r="D128" s="30"/>
    </row>
    <row r="129" spans="4:4" x14ac:dyDescent="0.2">
      <c r="D129" s="30"/>
    </row>
    <row r="130" spans="4:4" x14ac:dyDescent="0.2">
      <c r="D130" s="30"/>
    </row>
    <row r="132" spans="4:4" x14ac:dyDescent="0.2">
      <c r="D132" s="30"/>
    </row>
    <row r="133" spans="4:4" x14ac:dyDescent="0.2">
      <c r="D133" s="30"/>
    </row>
    <row r="134" spans="4:4" x14ac:dyDescent="0.2">
      <c r="D134" s="30"/>
    </row>
    <row r="135" spans="4:4" x14ac:dyDescent="0.2">
      <c r="D135" s="30"/>
    </row>
    <row r="136" spans="4:4" x14ac:dyDescent="0.2">
      <c r="D136" s="30"/>
    </row>
    <row r="137" spans="4:4" x14ac:dyDescent="0.2">
      <c r="D137" s="30"/>
    </row>
    <row r="138" spans="4:4" x14ac:dyDescent="0.2">
      <c r="D138" s="30"/>
    </row>
    <row r="139" spans="4:4" x14ac:dyDescent="0.2">
      <c r="D139" s="30"/>
    </row>
    <row r="140" spans="4:4" x14ac:dyDescent="0.2">
      <c r="D140" s="30"/>
    </row>
    <row r="141" spans="4:4" x14ac:dyDescent="0.2">
      <c r="D141" s="30"/>
    </row>
    <row r="142" spans="4:4" x14ac:dyDescent="0.2">
      <c r="D142" s="30"/>
    </row>
  </sheetData>
  <phoneticPr fontId="12" type="noConversion"/>
  <conditionalFormatting sqref="I7">
    <cfRule type="cellIs" dxfId="0" priority="1" stopIfTrue="1" operator="greaterThan">
      <formula>0.72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"/>
  <sheetViews>
    <sheetView topLeftCell="H1" zoomScale="85" zoomScaleNormal="85" workbookViewId="0">
      <selection activeCell="B22" sqref="B22"/>
    </sheetView>
  </sheetViews>
  <sheetFormatPr defaultRowHeight="15" x14ac:dyDescent="0.25"/>
  <sheetData>
    <row r="1" spans="1:32" x14ac:dyDescent="0.25">
      <c r="C1" s="16" t="s">
        <v>26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32" x14ac:dyDescent="0.25">
      <c r="C2" s="16" t="s">
        <v>371</v>
      </c>
      <c r="D2" s="16">
        <v>0</v>
      </c>
      <c r="E2" s="16">
        <v>1</v>
      </c>
      <c r="F2" s="16">
        <v>2</v>
      </c>
      <c r="G2" s="16">
        <v>3</v>
      </c>
      <c r="H2" s="16">
        <v>4</v>
      </c>
      <c r="I2" s="16">
        <v>5</v>
      </c>
      <c r="J2" s="16">
        <v>6</v>
      </c>
      <c r="K2" s="16">
        <v>7</v>
      </c>
      <c r="L2" s="16">
        <v>8</v>
      </c>
      <c r="M2" s="16">
        <v>9</v>
      </c>
      <c r="N2" s="16">
        <v>10</v>
      </c>
      <c r="O2" s="16" t="s">
        <v>372</v>
      </c>
      <c r="P2" s="16" t="s">
        <v>113</v>
      </c>
      <c r="Q2" s="16" t="s">
        <v>112</v>
      </c>
      <c r="R2" s="16" t="s">
        <v>373</v>
      </c>
      <c r="S2" s="16" t="s">
        <v>374</v>
      </c>
      <c r="T2" s="16" t="s">
        <v>375</v>
      </c>
      <c r="U2" s="16" t="s">
        <v>376</v>
      </c>
      <c r="V2" s="16" t="s">
        <v>377</v>
      </c>
      <c r="W2" s="16" t="s">
        <v>378</v>
      </c>
      <c r="X2" s="16" t="s">
        <v>379</v>
      </c>
      <c r="Y2" s="16" t="s">
        <v>380</v>
      </c>
    </row>
    <row r="3" spans="1:32" x14ac:dyDescent="0.25">
      <c r="A3" s="274">
        <f>Decks!B21</f>
        <v>1.5</v>
      </c>
      <c r="B3">
        <v>0</v>
      </c>
      <c r="C3" s="13" t="e">
        <f>IF(A3&gt;'Profile Calcs'!$C$16,'Profile Calcs'!$B$16,_xll.Spline('Profile Calcs'!$C$16:$C$22,'Profile Calcs'!$B$16:$B$22,'Decks Calcs'!A3,TRUE))</f>
        <v>#NUM!</v>
      </c>
      <c r="D3" t="e">
        <f>IF(A3&lt;Inputs!B6,'Decks Calcs'!C3,0)</f>
        <v>#NUM!</v>
      </c>
      <c r="E3" s="13">
        <f t="shared" ref="E3:E8" si="0">$N3/10</f>
        <v>-6.3246769080712024</v>
      </c>
      <c r="F3" s="13">
        <f t="shared" ref="F3:M8" si="1">E3+$N3/10</f>
        <v>-12.649353816142405</v>
      </c>
      <c r="G3" s="13">
        <f t="shared" si="1"/>
        <v>-18.974030724213605</v>
      </c>
      <c r="H3" s="13">
        <f t="shared" si="1"/>
        <v>-25.29870763228481</v>
      </c>
      <c r="I3" s="13">
        <f t="shared" si="1"/>
        <v>-31.623384540356014</v>
      </c>
      <c r="J3" s="13">
        <f t="shared" si="1"/>
        <v>-37.948061448427218</v>
      </c>
      <c r="K3" s="13">
        <f t="shared" si="1"/>
        <v>-44.272738356498422</v>
      </c>
      <c r="L3" s="13">
        <f t="shared" si="1"/>
        <v>-50.597415264569626</v>
      </c>
      <c r="M3" s="13">
        <f t="shared" si="1"/>
        <v>-56.922092172640831</v>
      </c>
      <c r="N3" s="13">
        <f>-Inputs!B3/2</f>
        <v>-63.246769080712021</v>
      </c>
      <c r="O3" s="13">
        <f t="shared" ref="O3:X8" si="2">IF(N3+$N3/10&lt;$Y3,$Y3,N3+$N3/10)</f>
        <v>-69.571445988783225</v>
      </c>
      <c r="P3" s="13">
        <f t="shared" si="2"/>
        <v>-75.896122896854422</v>
      </c>
      <c r="Q3" s="13">
        <f t="shared" si="2"/>
        <v>-82.220799804925619</v>
      </c>
      <c r="R3" s="13">
        <f t="shared" si="2"/>
        <v>-88.545476712996816</v>
      </c>
      <c r="S3" s="13">
        <f t="shared" si="2"/>
        <v>-94.870153621068013</v>
      </c>
      <c r="T3" s="13">
        <f t="shared" si="2"/>
        <v>-101.19483052913921</v>
      </c>
      <c r="U3" s="13">
        <f t="shared" si="2"/>
        <v>-104.8706818559325</v>
      </c>
      <c r="V3" s="13">
        <f t="shared" si="2"/>
        <v>-104.8706818559325</v>
      </c>
      <c r="W3" s="13">
        <f t="shared" si="2"/>
        <v>-104.8706818559325</v>
      </c>
      <c r="X3" s="13">
        <f t="shared" si="2"/>
        <v>-104.8706818559325</v>
      </c>
      <c r="Y3" s="13">
        <f>IF(A3&gt;='Profile Calcs'!$C$30,'Profile Calcs'!$B$30,IF(A3&gt;'Profile Calcs'!$C$28,_xll.Spline('Profile Calcs'!$C$28:$C$30,'Profile Calcs'!$B$28:$B$30,A3,TRUE),_xll.Spline('Profile Calcs'!$C$23:$C$28,'Profile Calcs'!$B$23:$B$28,A3,TRUE)))</f>
        <v>-104.8706818559325</v>
      </c>
      <c r="Z3" s="13" t="e">
        <f t="shared" ref="Z3:Z8" si="3">C3</f>
        <v>#NUM!</v>
      </c>
      <c r="AA3" s="13" t="e">
        <f t="shared" ref="AA3:AA8" si="4">Z3</f>
        <v>#NUM!</v>
      </c>
      <c r="AB3">
        <f t="shared" ref="AB3:AB8" si="5">A3</f>
        <v>1.5</v>
      </c>
      <c r="AC3">
        <f t="shared" ref="AC3:AC8" si="6">AB3</f>
        <v>1.5</v>
      </c>
      <c r="AD3" s="13">
        <f t="shared" ref="AD3:AD8" si="7">Y3</f>
        <v>-104.8706818559325</v>
      </c>
      <c r="AE3" s="13">
        <f t="shared" ref="AE3:AF8" si="8">AD3</f>
        <v>-104.8706818559325</v>
      </c>
      <c r="AF3" s="13">
        <f>AE3</f>
        <v>-104.8706818559325</v>
      </c>
    </row>
    <row r="4" spans="1:32" x14ac:dyDescent="0.25">
      <c r="A4" s="274">
        <f>Decks!B22</f>
        <v>4</v>
      </c>
      <c r="B4">
        <v>0</v>
      </c>
      <c r="C4" s="13" t="e">
        <f>IF(A4&gt;'Profile Calcs'!$C$16,'Profile Calcs'!$B$16,_xll.Spline('Profile Calcs'!$C$16:$C$22,'Profile Calcs'!$B$16:$B$22,'Decks Calcs'!A4,TRUE))</f>
        <v>#NUM!</v>
      </c>
      <c r="D4">
        <f>IF(A4&lt;Inputs!B7,'Decks Calcs'!C4,0)</f>
        <v>0</v>
      </c>
      <c r="E4" s="13">
        <f t="shared" si="0"/>
        <v>-6.3246769080712024</v>
      </c>
      <c r="F4" s="13">
        <f t="shared" si="1"/>
        <v>-12.649353816142405</v>
      </c>
      <c r="G4" s="13">
        <f t="shared" si="1"/>
        <v>-18.974030724213605</v>
      </c>
      <c r="H4" s="13">
        <f t="shared" si="1"/>
        <v>-25.29870763228481</v>
      </c>
      <c r="I4" s="13">
        <f t="shared" si="1"/>
        <v>-31.623384540356014</v>
      </c>
      <c r="J4" s="13">
        <f t="shared" si="1"/>
        <v>-37.948061448427218</v>
      </c>
      <c r="K4" s="13">
        <f t="shared" si="1"/>
        <v>-44.272738356498422</v>
      </c>
      <c r="L4" s="13">
        <f t="shared" si="1"/>
        <v>-50.597415264569626</v>
      </c>
      <c r="M4" s="13">
        <f t="shared" si="1"/>
        <v>-56.922092172640831</v>
      </c>
      <c r="N4" s="13">
        <f t="shared" ref="N4:N8" si="9">N3</f>
        <v>-63.246769080712021</v>
      </c>
      <c r="O4" s="13">
        <f t="shared" si="2"/>
        <v>-69.571445988783225</v>
      </c>
      <c r="P4" s="13">
        <f t="shared" si="2"/>
        <v>-75.896122896854422</v>
      </c>
      <c r="Q4" s="13">
        <f t="shared" si="2"/>
        <v>-82.220799804925619</v>
      </c>
      <c r="R4" s="13">
        <f t="shared" si="2"/>
        <v>-88.545476712996816</v>
      </c>
      <c r="S4" s="13">
        <f t="shared" si="2"/>
        <v>-94.870153621068013</v>
      </c>
      <c r="T4" s="13">
        <f t="shared" si="2"/>
        <v>-101.19483052913921</v>
      </c>
      <c r="U4" s="13">
        <f t="shared" si="2"/>
        <v>-107.51950743721041</v>
      </c>
      <c r="V4" s="13">
        <f t="shared" si="2"/>
        <v>-113.8441843452816</v>
      </c>
      <c r="W4" s="13">
        <f t="shared" si="2"/>
        <v>-120.1688612533528</v>
      </c>
      <c r="X4" s="13">
        <f t="shared" si="2"/>
        <v>-126.31255496531134</v>
      </c>
      <c r="Y4" s="13">
        <f>IF(A4&gt;='Profile Calcs'!$C$30,'Profile Calcs'!$B$30,IF(A4&gt;'Profile Calcs'!$C$28,_xll.Spline('Profile Calcs'!$C$28:$C$30,'Profile Calcs'!$B$28:$B$30,A4,TRUE),_xll.Spline('Profile Calcs'!$C$23:$C$28,'Profile Calcs'!$B$23:$B$28,A4,TRUE)))</f>
        <v>-126.31255496531134</v>
      </c>
      <c r="Z4" s="13" t="e">
        <f t="shared" si="3"/>
        <v>#NUM!</v>
      </c>
      <c r="AA4" s="13" t="e">
        <f t="shared" si="4"/>
        <v>#NUM!</v>
      </c>
      <c r="AB4">
        <f t="shared" si="5"/>
        <v>4</v>
      </c>
      <c r="AC4">
        <f t="shared" si="6"/>
        <v>4</v>
      </c>
      <c r="AD4" s="13">
        <f t="shared" si="7"/>
        <v>-126.31255496531134</v>
      </c>
      <c r="AE4" s="13">
        <f t="shared" si="8"/>
        <v>-126.31255496531134</v>
      </c>
      <c r="AF4" s="13">
        <f t="shared" si="8"/>
        <v>-126.31255496531134</v>
      </c>
    </row>
    <row r="5" spans="1:32" x14ac:dyDescent="0.25">
      <c r="A5" s="274">
        <f>Decks!B23</f>
        <v>6.5</v>
      </c>
      <c r="B5">
        <v>0</v>
      </c>
      <c r="C5" s="13" t="e">
        <f>IF(A5&gt;'Profile Calcs'!$C$16,'Profile Calcs'!$B$16,_xll.Spline('Profile Calcs'!$C$16:$C$22,'Profile Calcs'!$B$16:$B$22,'Decks Calcs'!A5,TRUE))</f>
        <v>#NUM!</v>
      </c>
      <c r="D5">
        <f>IF(A5&lt;Inputs!B8,'Decks Calcs'!C5,0)</f>
        <v>0</v>
      </c>
      <c r="E5" s="13">
        <f t="shared" si="0"/>
        <v>-6.3246769080712024</v>
      </c>
      <c r="F5" s="13">
        <f t="shared" si="1"/>
        <v>-12.649353816142405</v>
      </c>
      <c r="G5" s="13">
        <f t="shared" si="1"/>
        <v>-18.974030724213605</v>
      </c>
      <c r="H5" s="13">
        <f t="shared" si="1"/>
        <v>-25.29870763228481</v>
      </c>
      <c r="I5" s="13">
        <f t="shared" si="1"/>
        <v>-31.623384540356014</v>
      </c>
      <c r="J5" s="13">
        <f t="shared" si="1"/>
        <v>-37.948061448427218</v>
      </c>
      <c r="K5" s="13">
        <f t="shared" si="1"/>
        <v>-44.272738356498422</v>
      </c>
      <c r="L5" s="13">
        <f t="shared" si="1"/>
        <v>-50.597415264569626</v>
      </c>
      <c r="M5" s="13">
        <f t="shared" si="1"/>
        <v>-56.922092172640831</v>
      </c>
      <c r="N5" s="13">
        <f t="shared" si="9"/>
        <v>-63.246769080712021</v>
      </c>
      <c r="O5" s="13">
        <f t="shared" si="2"/>
        <v>-69.571445988783225</v>
      </c>
      <c r="P5" s="13">
        <f t="shared" si="2"/>
        <v>-75.896122896854422</v>
      </c>
      <c r="Q5" s="13">
        <f t="shared" si="2"/>
        <v>-82.220799804925619</v>
      </c>
      <c r="R5" s="13">
        <f t="shared" si="2"/>
        <v>-88.545476712996816</v>
      </c>
      <c r="S5" s="13">
        <f t="shared" si="2"/>
        <v>-94.870153621068013</v>
      </c>
      <c r="T5" s="13">
        <f t="shared" si="2"/>
        <v>-101.19483052913921</v>
      </c>
      <c r="U5" s="13">
        <f t="shared" si="2"/>
        <v>-107.51950743721041</v>
      </c>
      <c r="V5" s="13">
        <f t="shared" si="2"/>
        <v>-113.8441843452816</v>
      </c>
      <c r="W5" s="13">
        <f t="shared" si="2"/>
        <v>-120.1688612533528</v>
      </c>
      <c r="X5" s="13">
        <f t="shared" si="2"/>
        <v>-126.493538161424</v>
      </c>
      <c r="Y5" s="13">
        <f>IF(A5&gt;='Profile Calcs'!$C$30,'Profile Calcs'!$B$30,IF(A5&gt;'Profile Calcs'!$C$28,_xll.Spline('Profile Calcs'!$C$28:$C$30,'Profile Calcs'!$B$28:$B$30,A5,TRUE),_xll.Spline('Profile Calcs'!$C$23:$C$28,'Profile Calcs'!$B$23:$B$28,A5,TRUE)))</f>
        <v>-126.8439463694864</v>
      </c>
      <c r="Z5" s="13" t="e">
        <f t="shared" si="3"/>
        <v>#NUM!</v>
      </c>
      <c r="AA5" s="13" t="e">
        <f t="shared" si="4"/>
        <v>#NUM!</v>
      </c>
      <c r="AB5">
        <f t="shared" si="5"/>
        <v>6.5</v>
      </c>
      <c r="AC5">
        <f t="shared" si="6"/>
        <v>6.5</v>
      </c>
      <c r="AD5" s="13">
        <f t="shared" si="7"/>
        <v>-126.8439463694864</v>
      </c>
      <c r="AE5" s="13">
        <f t="shared" si="8"/>
        <v>-126.8439463694864</v>
      </c>
      <c r="AF5" s="13">
        <f t="shared" si="8"/>
        <v>-126.8439463694864</v>
      </c>
    </row>
    <row r="6" spans="1:32" x14ac:dyDescent="0.25">
      <c r="A6" s="274">
        <f>Decks!B24</f>
        <v>9</v>
      </c>
      <c r="B6">
        <v>0</v>
      </c>
      <c r="C6" s="13" t="e">
        <f>IF(A6&gt;'Profile Calcs'!$C$16,'Profile Calcs'!$B$16,_xll.Spline('Profile Calcs'!$C$16:$C$22,'Profile Calcs'!$B$16:$B$22,'Decks Calcs'!A6,TRUE))</f>
        <v>#NUM!</v>
      </c>
      <c r="D6">
        <f>IF(A6&lt;Inputs!B9,'Decks Calcs'!C6,0)</f>
        <v>0</v>
      </c>
      <c r="E6" s="13">
        <f t="shared" si="0"/>
        <v>-6.3246769080712024</v>
      </c>
      <c r="F6" s="13">
        <f t="shared" si="1"/>
        <v>-12.649353816142405</v>
      </c>
      <c r="G6" s="13">
        <f t="shared" si="1"/>
        <v>-18.974030724213605</v>
      </c>
      <c r="H6" s="13">
        <f t="shared" si="1"/>
        <v>-25.29870763228481</v>
      </c>
      <c r="I6" s="13">
        <f t="shared" si="1"/>
        <v>-31.623384540356014</v>
      </c>
      <c r="J6" s="13">
        <f t="shared" si="1"/>
        <v>-37.948061448427218</v>
      </c>
      <c r="K6" s="13">
        <f t="shared" si="1"/>
        <v>-44.272738356498422</v>
      </c>
      <c r="L6" s="13">
        <f t="shared" si="1"/>
        <v>-50.597415264569626</v>
      </c>
      <c r="M6" s="13">
        <f t="shared" si="1"/>
        <v>-56.922092172640831</v>
      </c>
      <c r="N6" s="13">
        <f t="shared" si="9"/>
        <v>-63.246769080712021</v>
      </c>
      <c r="O6" s="13">
        <f t="shared" si="2"/>
        <v>-69.571445988783225</v>
      </c>
      <c r="P6" s="13">
        <f t="shared" si="2"/>
        <v>-75.896122896854422</v>
      </c>
      <c r="Q6" s="13">
        <f t="shared" si="2"/>
        <v>-82.220799804925619</v>
      </c>
      <c r="R6" s="13">
        <f t="shared" si="2"/>
        <v>-88.545476712996816</v>
      </c>
      <c r="S6" s="13">
        <f t="shared" si="2"/>
        <v>-94.870153621068013</v>
      </c>
      <c r="T6" s="13">
        <f t="shared" si="2"/>
        <v>-101.19483052913921</v>
      </c>
      <c r="U6" s="13">
        <f t="shared" si="2"/>
        <v>-107.51950743721041</v>
      </c>
      <c r="V6" s="13">
        <f t="shared" si="2"/>
        <v>-113.8441843452816</v>
      </c>
      <c r="W6" s="13">
        <f t="shared" si="2"/>
        <v>-120.1688612533528</v>
      </c>
      <c r="X6" s="13">
        <f t="shared" si="2"/>
        <v>-126.493538161424</v>
      </c>
      <c r="Y6" s="13">
        <f>IF(A6&gt;='Profile Calcs'!$C$30,'Profile Calcs'!$B$30,IF(A6&gt;'Profile Calcs'!$C$28,_xll.Spline('Profile Calcs'!$C$28:$C$30,'Profile Calcs'!$B$28:$B$30,A6,TRUE),_xll.Spline('Profile Calcs'!$C$23:$C$28,'Profile Calcs'!$B$23:$B$28,A6,TRUE)))</f>
        <v>-127.37533777366144</v>
      </c>
      <c r="Z6" s="13" t="e">
        <f t="shared" si="3"/>
        <v>#NUM!</v>
      </c>
      <c r="AA6" s="13" t="e">
        <f t="shared" si="4"/>
        <v>#NUM!</v>
      </c>
      <c r="AB6">
        <f t="shared" si="5"/>
        <v>9</v>
      </c>
      <c r="AC6">
        <f t="shared" si="6"/>
        <v>9</v>
      </c>
      <c r="AD6" s="13">
        <f t="shared" si="7"/>
        <v>-127.37533777366144</v>
      </c>
      <c r="AE6" s="13">
        <f t="shared" si="8"/>
        <v>-127.37533777366144</v>
      </c>
      <c r="AF6" s="13">
        <f t="shared" si="8"/>
        <v>-127.37533777366144</v>
      </c>
    </row>
    <row r="7" spans="1:32" x14ac:dyDescent="0.25">
      <c r="A7" s="274">
        <f>Decks!B25</f>
        <v>11.5</v>
      </c>
      <c r="B7">
        <v>0</v>
      </c>
      <c r="C7" s="13" t="e">
        <f>IF(A7&gt;'Profile Calcs'!$C$16,'Profile Calcs'!$B$16,_xll.Spline('Profile Calcs'!$C$16:$C$22,'Profile Calcs'!$B$16:$B$22,'Decks Calcs'!A7,TRUE))</f>
        <v>#NUM!</v>
      </c>
      <c r="D7">
        <f>IF(A7&lt;Inputs!B10,'Decks Calcs'!C7,0)</f>
        <v>0</v>
      </c>
      <c r="E7" s="13">
        <f t="shared" si="0"/>
        <v>-6.3246769080712024</v>
      </c>
      <c r="F7" s="13">
        <f t="shared" si="1"/>
        <v>-12.649353816142405</v>
      </c>
      <c r="G7" s="13">
        <f t="shared" si="1"/>
        <v>-18.974030724213605</v>
      </c>
      <c r="H7" s="13">
        <f t="shared" si="1"/>
        <v>-25.29870763228481</v>
      </c>
      <c r="I7" s="13">
        <f t="shared" si="1"/>
        <v>-31.623384540356014</v>
      </c>
      <c r="J7" s="13">
        <f t="shared" si="1"/>
        <v>-37.948061448427218</v>
      </c>
      <c r="K7" s="13">
        <f t="shared" si="1"/>
        <v>-44.272738356498422</v>
      </c>
      <c r="L7" s="13">
        <f t="shared" si="1"/>
        <v>-50.597415264569626</v>
      </c>
      <c r="M7" s="13">
        <f t="shared" si="1"/>
        <v>-56.922092172640831</v>
      </c>
      <c r="N7" s="13">
        <f t="shared" si="9"/>
        <v>-63.246769080712021</v>
      </c>
      <c r="O7" s="13">
        <f t="shared" si="2"/>
        <v>-69.571445988783225</v>
      </c>
      <c r="P7" s="13">
        <f t="shared" si="2"/>
        <v>-75.896122896854422</v>
      </c>
      <c r="Q7" s="13">
        <f t="shared" si="2"/>
        <v>-82.220799804925619</v>
      </c>
      <c r="R7" s="13">
        <f t="shared" si="2"/>
        <v>-88.545476712996816</v>
      </c>
      <c r="S7" s="13">
        <f t="shared" si="2"/>
        <v>-94.870153621068013</v>
      </c>
      <c r="T7" s="13">
        <f t="shared" si="2"/>
        <v>-101.19483052913921</v>
      </c>
      <c r="U7" s="13">
        <f t="shared" si="2"/>
        <v>-107.51950743721041</v>
      </c>
      <c r="V7" s="13">
        <f t="shared" si="2"/>
        <v>-113.8441843452816</v>
      </c>
      <c r="W7" s="13">
        <f t="shared" si="2"/>
        <v>-120.1688612533528</v>
      </c>
      <c r="X7" s="13">
        <f t="shared" si="2"/>
        <v>-126.493538161424</v>
      </c>
      <c r="Y7" s="13">
        <f>IF(A7&gt;='Profile Calcs'!$C$30,'Profile Calcs'!$B$30,IF(A7&gt;'Profile Calcs'!$C$28,_xll.Spline('Profile Calcs'!$C$28:$C$30,'Profile Calcs'!$B$28:$B$30,A7,TRUE),_xll.Spline('Profile Calcs'!$C$23:$C$28,'Profile Calcs'!$B$23:$B$28,A7,TRUE)))</f>
        <v>-127.47337501735782</v>
      </c>
      <c r="Z7" s="13" t="e">
        <f t="shared" si="3"/>
        <v>#NUM!</v>
      </c>
      <c r="AA7" s="13" t="e">
        <f t="shared" si="4"/>
        <v>#NUM!</v>
      </c>
      <c r="AB7">
        <f t="shared" si="5"/>
        <v>11.5</v>
      </c>
      <c r="AC7">
        <f t="shared" si="6"/>
        <v>11.5</v>
      </c>
      <c r="AD7" s="13">
        <f t="shared" si="7"/>
        <v>-127.47337501735782</v>
      </c>
      <c r="AE7" s="13">
        <f t="shared" si="8"/>
        <v>-127.47337501735782</v>
      </c>
      <c r="AF7" s="13">
        <f t="shared" si="8"/>
        <v>-127.47337501735782</v>
      </c>
    </row>
    <row r="8" spans="1:32" x14ac:dyDescent="0.25">
      <c r="A8" s="274">
        <f>Decks!B26</f>
        <v>8.9612289685442565</v>
      </c>
      <c r="B8">
        <v>0</v>
      </c>
      <c r="C8" s="13" t="e">
        <f>IF(A8&gt;'Profile Calcs'!$C$16,'Profile Calcs'!$B$16,_xll.Spline('Profile Calcs'!$C$16:$C$22,'Profile Calcs'!$B$16:$B$22,'Decks Calcs'!A8,TRUE))</f>
        <v>#NUM!</v>
      </c>
      <c r="D8">
        <f>IF(A8&lt;Inputs!B11,'Decks Calcs'!C8,0)</f>
        <v>0</v>
      </c>
      <c r="E8" s="13">
        <f t="shared" si="0"/>
        <v>-6.3246769080712024</v>
      </c>
      <c r="F8" s="13">
        <f t="shared" si="1"/>
        <v>-12.649353816142405</v>
      </c>
      <c r="G8" s="13">
        <f t="shared" si="1"/>
        <v>-18.974030724213605</v>
      </c>
      <c r="H8" s="13">
        <f t="shared" si="1"/>
        <v>-25.29870763228481</v>
      </c>
      <c r="I8" s="13">
        <f t="shared" si="1"/>
        <v>-31.623384540356014</v>
      </c>
      <c r="J8" s="13">
        <f t="shared" si="1"/>
        <v>-37.948061448427218</v>
      </c>
      <c r="K8" s="13">
        <f t="shared" si="1"/>
        <v>-44.272738356498422</v>
      </c>
      <c r="L8" s="13">
        <f t="shared" si="1"/>
        <v>-50.597415264569626</v>
      </c>
      <c r="M8" s="13">
        <f t="shared" si="1"/>
        <v>-56.922092172640831</v>
      </c>
      <c r="N8" s="13">
        <f t="shared" si="9"/>
        <v>-63.246769080712021</v>
      </c>
      <c r="O8" s="13">
        <f t="shared" si="2"/>
        <v>-69.571445988783225</v>
      </c>
      <c r="P8" s="13">
        <f t="shared" si="2"/>
        <v>-75.896122896854422</v>
      </c>
      <c r="Q8" s="13">
        <f t="shared" si="2"/>
        <v>-82.220799804925619</v>
      </c>
      <c r="R8" s="13">
        <f t="shared" si="2"/>
        <v>-88.545476712996816</v>
      </c>
      <c r="S8" s="13">
        <f t="shared" si="2"/>
        <v>-94.870153621068013</v>
      </c>
      <c r="T8" s="13">
        <f t="shared" si="2"/>
        <v>-101.19483052913921</v>
      </c>
      <c r="U8" s="13">
        <f t="shared" si="2"/>
        <v>-107.51950743721041</v>
      </c>
      <c r="V8" s="13">
        <f t="shared" si="2"/>
        <v>-113.8441843452816</v>
      </c>
      <c r="W8" s="13">
        <f t="shared" si="2"/>
        <v>-120.1688612533528</v>
      </c>
      <c r="X8" s="13">
        <f t="shared" si="2"/>
        <v>-126.493538161424</v>
      </c>
      <c r="Y8" s="13">
        <f>IF(A8&gt;='Profile Calcs'!$C$30,'Profile Calcs'!$B$30,IF(A8&gt;'Profile Calcs'!$C$28,_xll.Spline('Profile Calcs'!$C$28:$C$30,'Profile Calcs'!$B$28:$B$30,A8,TRUE),_xll.Spline('Profile Calcs'!$C$23:$C$28,'Profile Calcs'!$B$23:$B$28,A8,TRUE)))</f>
        <v>-127.36709673652281</v>
      </c>
      <c r="Z8" s="13" t="e">
        <f t="shared" si="3"/>
        <v>#NUM!</v>
      </c>
      <c r="AA8" s="13" t="e">
        <f t="shared" si="4"/>
        <v>#NUM!</v>
      </c>
      <c r="AB8">
        <f t="shared" si="5"/>
        <v>8.9612289685442565</v>
      </c>
      <c r="AC8">
        <f t="shared" si="6"/>
        <v>8.9612289685442565</v>
      </c>
      <c r="AD8" s="13">
        <f t="shared" si="7"/>
        <v>-127.36709673652281</v>
      </c>
      <c r="AE8" s="13">
        <f t="shared" si="8"/>
        <v>-127.36709673652281</v>
      </c>
      <c r="AF8" s="13">
        <f t="shared" si="8"/>
        <v>-127.36709673652281</v>
      </c>
    </row>
    <row r="9" spans="1:32" x14ac:dyDescent="0.25">
      <c r="A9" s="274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D9" s="13"/>
      <c r="AE9" s="13"/>
    </row>
    <row r="10" spans="1:32" x14ac:dyDescent="0.25">
      <c r="Z10" s="13"/>
    </row>
    <row r="11" spans="1:32" x14ac:dyDescent="0.25">
      <c r="B11">
        <v>0</v>
      </c>
      <c r="C11" s="19">
        <v>0</v>
      </c>
      <c r="D11" s="13">
        <f>IF(A3&lt;Profile!$B$18,0,_xll.Spline('Section Calcs'!$AK$137:$AO$137,'Section Calcs'!$AK$140:$AO$140,$A3,TRUE))</f>
        <v>0</v>
      </c>
      <c r="E11" s="19">
        <f>_xll.Spline('Section Calcs'!$V$132:$AO$132,'Section Calcs'!$V$135:$AO$135,$A3,TRUE)</f>
        <v>0.16905413909984504</v>
      </c>
      <c r="F11" s="13">
        <f>_xll.Spline('Section Calcs'!$V$127:$AO$127,'Section Calcs'!$V$130:$AO$130,$A3,TRUE)</f>
        <v>0.66797385517911279</v>
      </c>
      <c r="G11" s="13">
        <f>_xll.Spline('Section Calcs'!$V$122:$AO$122,'Section Calcs'!$V$125:$AO$125,$A3,TRUE)</f>
        <v>1.3951362186852267</v>
      </c>
      <c r="H11" s="13">
        <f>_xll.Spline('Section Calcs'!$V$117:$AO$117,'Section Calcs'!$V$120:$AO$120,$A3,TRUE)</f>
        <v>2.3878078048067595</v>
      </c>
      <c r="I11" s="13">
        <f>_xll.Spline('Section Calcs'!$V$112:$AO$112,'Section Calcs'!$V$115:$AO$115,$A3,TRUE)</f>
        <v>3.322926079490947</v>
      </c>
      <c r="J11" s="13">
        <f>_xll.Spline('Section Calcs'!$V$107:$AO$107,'Section Calcs'!$V$110:$AO$110,$A3,TRUE)</f>
        <v>4.02344305483936</v>
      </c>
      <c r="K11" s="13">
        <f>_xll.Spline('Section Calcs'!$V$102:$AO$102,'Section Calcs'!$V$105:$AO$105,$A3,TRUE)</f>
        <v>4.6940450319914584</v>
      </c>
      <c r="L11" s="13">
        <f>_xll.Spline('Section Calcs'!$V$97:$AO$97,'Section Calcs'!$V$100:$AO$100,$A3,TRUE)</f>
        <v>5.2800249895400979</v>
      </c>
      <c r="M11" s="13">
        <f>_xll.Spline('Section Calcs'!$V$92:$AO$92,'Section Calcs'!$V$95:$AO$95,$A3,TRUE)</f>
        <v>5.6289500093689773</v>
      </c>
      <c r="N11" s="13">
        <f>_xll.Spline('Section Calcs'!$V$86:$AO$86,'Section Calcs'!$V$89:$AO$89,$A3,TRUE)</f>
        <v>5.6933718772418453</v>
      </c>
      <c r="O11" s="13">
        <f>IF(-O3&gt;Y3,_xll.Spline('Section Calcs'!$V$80:$AO$80,'Section Calcs'!$V$83:$AO$83,$A3,TRUE),"")</f>
        <v>5.4967240334825229</v>
      </c>
      <c r="P11" s="13">
        <f>IF(-P3&gt;Y3,_xll.Spline('Section Calcs'!$V$74:$AO$74,'Section Calcs'!$V$77:$AO$77,$A3,TRUE),"")</f>
        <v>5.0727236492316639</v>
      </c>
      <c r="Q11" s="13">
        <f>IF(-Q3&gt;Y3,_xll.Spline('Section Calcs'!$V$68:$AO$68,'Section Calcs'!$V$71:$AO$71,$A3,TRUE),IF(A3&gt;Profile!$B$18-Profile!$B$20,_xll.Spline(J3:P3,J11:P11,Q3,TRUE),""))</f>
        <v>4.4685713906513849</v>
      </c>
      <c r="R11" s="13">
        <f>IF(-R3&gt;Y3,_xll.Spline('Section Calcs'!$V$62:$AO$62,'Section Calcs'!$V$65:$AO$65,$A3,TRUE),IF(A3&gt;Profile!$B$18-Profile!$B$20,_xll.Spline(K3:Q3,K11:Q11,R3,TRUE),""))</f>
        <v>3.6904282192606428</v>
      </c>
      <c r="S11" s="13">
        <f>IF(-S3&gt;Y3,_xll.Spline('Section Calcs'!$V$56:$AO$56,'Section Calcs'!$V$59:$AO$59,$A3,TRUE),IF(A3&gt;Profile!$B$18-Profile!$B$20,_xll.Spline(L3:R3,L11:R11,S3,TRUE),""))</f>
        <v>2.3992569191468012</v>
      </c>
      <c r="T11" s="13">
        <f>IF(T3&gt;Y3,_xll.Spline('Section Calcs'!$V$50:$AO$50,'Section Calcs'!$V$53:$AO$53,$A3,TRUE),IF(A3&gt;Profile!$B$18-Profile!$B$20,_xll.Spline(N3:S3,N11:S11,T3,TRUE),""))</f>
        <v>0.90513436105136535</v>
      </c>
      <c r="U11" s="13" t="str">
        <f>IF(U3&gt;Y3,_xll.Spline('Section Calcs'!$V$44:$AO$44,'Section Calcs'!$V$47:$AO$47,$A3,TRUE),IF(A3&gt;Profile!$B$18-Profile!$B$20,_xll.Spline(N3:T3,N11:T11,U3,TRUE),""))</f>
        <v/>
      </c>
      <c r="V11" s="13" t="str">
        <f>IF(V3&gt;Y3,_xll.Spline('Section Calcs'!$V$38:$AO$38,'Section Calcs'!$V$41:$AO$41,$A3,TRUE),IF(A3&gt;Profile!$B$18-Profile!$B$20,_xll.Spline(N3:U3,N11:U11,V3,TRUE),""))</f>
        <v/>
      </c>
      <c r="W11" s="13" t="str">
        <f>IF(W3&gt;Y3,_xll.Spline('Section Calcs'!$V$32:$AO$32,'Section Calcs'!$V$35:$AO$35,$A3,TRUE),IF(A3&gt;Profile!$B$18-Profile!$B$20,_xll.Spline(N3:V3,N11:V11,W3,TRUE),""))</f>
        <v/>
      </c>
      <c r="X11" s="13" t="str">
        <f>IF(X3&gt;Y3,_xll.Spline('Section Calcs'!$V$26:$AO$26,'Section Calcs'!$V$29:$AO$29,$A3,TRUE),IF(A3&gt;Profile!$B$18-Profile!$B$20,_xll.Spline(N3:W3,N11:W11,X3,TRUE),""))</f>
        <v/>
      </c>
      <c r="Y11" s="13" t="str">
        <f>IF(X11="","",_xll.Spline(N3:X3,N11:X11,Y3,TRUE))</f>
        <v/>
      </c>
      <c r="Z11" s="13">
        <v>0</v>
      </c>
      <c r="AA11" t="str">
        <f>IF(Y11="","",-Y11)</f>
        <v/>
      </c>
    </row>
    <row r="12" spans="1:32" x14ac:dyDescent="0.25">
      <c r="B12">
        <v>0</v>
      </c>
      <c r="C12" s="19">
        <v>0</v>
      </c>
      <c r="D12" s="13">
        <f>IF(A4&lt;Profile!$B$18,0,_xll.Spline('Section Calcs'!$AK$137:$AO$137,'Section Calcs'!$AK$140:$AO$140,$A4,TRUE))</f>
        <v>0</v>
      </c>
      <c r="E12" s="19">
        <f>_xll.Spline('Section Calcs'!$V$132:$AO$132,'Section Calcs'!$V$135:$AO$135,$A4,TRUE)</f>
        <v>1.0078522015742841</v>
      </c>
      <c r="F12" s="13">
        <f>_xll.Spline('Section Calcs'!$V$127:$AO$127,'Section Calcs'!$V$130:$AO$130,$A4,TRUE)</f>
        <v>2.0595502345494539</v>
      </c>
      <c r="G12" s="13">
        <f>_xll.Spline('Section Calcs'!$V$122:$AO$122,'Section Calcs'!$V$125:$AO$125,$A4,TRUE)</f>
        <v>3.086836101997847</v>
      </c>
      <c r="H12" s="13">
        <f>_xll.Spline('Section Calcs'!$V$117:$AO$117,'Section Calcs'!$V$120:$AO$120,$A4,TRUE)</f>
        <v>3.9330761509517815</v>
      </c>
      <c r="I12" s="13">
        <f>_xll.Spline('Section Calcs'!$V$112:$AO$112,'Section Calcs'!$V$115:$AO$115,$A4,TRUE)</f>
        <v>4.4887817787165218</v>
      </c>
      <c r="J12" s="13">
        <f>_xll.Spline('Section Calcs'!$V$107:$AO$107,'Section Calcs'!$V$110:$AO$110,$A4,TRUE)</f>
        <v>5.160004850372256</v>
      </c>
      <c r="K12" s="13">
        <f>_xll.Spline('Section Calcs'!$V$102:$AO$102,'Section Calcs'!$V$105:$AO$105,$A4,TRUE)</f>
        <v>5.7640656060524549</v>
      </c>
      <c r="L12" s="13">
        <f>_xll.Spline('Section Calcs'!$V$97:$AO$97,'Section Calcs'!$V$100:$AO$100,$A4,TRUE)</f>
        <v>6.2835230006703853</v>
      </c>
      <c r="M12" s="13">
        <f>_xll.Spline('Section Calcs'!$V$92:$AO$92,'Section Calcs'!$V$95:$AO$95,$A4,TRUE)</f>
        <v>6.6923948336949834</v>
      </c>
      <c r="N12" s="13">
        <f>_xll.Spline('Section Calcs'!$V$86:$AO$86,'Section Calcs'!$V$89:$AO$89,$A4,TRUE)</f>
        <v>6.9668188127410229</v>
      </c>
      <c r="O12" s="13">
        <f>IF(-O4&gt;Y4,_xll.Spline('Section Calcs'!$V$80:$AO$80,'Section Calcs'!$V$83:$AO$83,$A4,TRUE),"")</f>
        <v>7.0442645443874214</v>
      </c>
      <c r="P12" s="13">
        <f>IF(-P4&gt;Y4,_xll.Spline('Section Calcs'!$V$74:$AO$74,'Section Calcs'!$V$77:$AO$77,$A4,TRUE),"")</f>
        <v>6.9677654601916093</v>
      </c>
      <c r="Q12" s="13">
        <f>IF(-Q4&gt;Y4,_xll.Spline('Section Calcs'!$V$68:$AO$68,'Section Calcs'!$V$71:$AO$71,$A4,TRUE),IF(A4&gt;Profile!$B$18-Profile!$B$20,_xll.Spline(J4:P4,J12:P12,Q4,TRUE),""))</f>
        <v>6.7803590137793748</v>
      </c>
      <c r="R12" s="13">
        <f>IF(-R4&gt;Y4,_xll.Spline('Section Calcs'!$V$62:$AO$62,'Section Calcs'!$V$65:$AO$65,$A4,TRUE),IF(A4&gt;Profile!$B$18-Profile!$B$20,_xll.Spline(K4:Q4,K12:Q12,R4,TRUE),""))</f>
        <v>6.5004346897778627</v>
      </c>
      <c r="S12" s="13">
        <f>IF(-S4&gt;Y4,_xll.Spline('Section Calcs'!$V$56:$AO$56,'Section Calcs'!$V$59:$AO$59,$A4,TRUE),IF(A4&gt;Profile!$B$18-Profile!$B$20,_xll.Spline(L4:R4,L12:R12,S4,TRUE),""))</f>
        <v>6.2634333182368822</v>
      </c>
      <c r="T12" s="13">
        <f>IF(T4&gt;Y4,_xll.Spline('Section Calcs'!$V$50:$AO$50,'Section Calcs'!$V$53:$AO$53,$A4,TRUE),IF(A4&gt;Profile!$B$18-Profile!$B$20,_xll.Spline(N4:S4,N12:S12,T4,TRUE),""))</f>
        <v>5.8566723903314513</v>
      </c>
      <c r="U12" s="13">
        <f>IF(U4&gt;Y4,_xll.Spline('Section Calcs'!$V$44:$AO$44,'Section Calcs'!$V$47:$AO$47,$A4,TRUE),IF(A4&gt;Profile!$B$18-Profile!$B$20,_xll.Spline(N4:T4,N12:T12,U4,TRUE),""))</f>
        <v>5.3672528861959083</v>
      </c>
      <c r="V12" s="13">
        <f>IF(V4&gt;Y4,_xll.Spline('Section Calcs'!$V$38:$AO$38,'Section Calcs'!$V$41:$AO$41,$A4,TRUE),IF(A4&gt;Profile!$B$18-Profile!$B$20,_xll.Spline(N4:U4,N12:U12,V4,TRUE),""))</f>
        <v>4.7278891375518182</v>
      </c>
      <c r="W12" s="13">
        <f>IF(W4&gt;Y4,_xll.Spline('Section Calcs'!$V$32:$AO$32,'Section Calcs'!$V$35:$AO$35,$A4,TRUE),IF(A4&gt;Profile!$B$18-Profile!$B$20,_xll.Spline(N4:V4,N12:V12,W4,TRUE),""))</f>
        <v>3.4784594312051449</v>
      </c>
      <c r="X12" s="13" t="str">
        <f>IF(X4&gt;Y4,_xll.Spline('Section Calcs'!$V$26:$AO$26,'Section Calcs'!$V$29:$AO$29,$A4,TRUE),IF(A4&gt;Profile!$B$18-Profile!$B$20,_xll.Spline(N4:W4,N12:W12,X4,TRUE),""))</f>
        <v/>
      </c>
      <c r="Y12" s="13" t="str">
        <f>IF(X12="","",_xll.Spline(N4:X4,N12:X12,Y4,TRUE))</f>
        <v/>
      </c>
      <c r="Z12" s="13">
        <v>0</v>
      </c>
      <c r="AA12" t="str">
        <f t="shared" ref="AA12:AA16" si="10">IF(Y12="","",-Y12)</f>
        <v/>
      </c>
    </row>
    <row r="13" spans="1:32" x14ac:dyDescent="0.25">
      <c r="B13">
        <v>0</v>
      </c>
      <c r="C13" s="19">
        <v>0</v>
      </c>
      <c r="D13" s="13">
        <f>IF(A5&lt;Profile!$B$18,0,_xll.Spline('Section Calcs'!$AK$137:$AO$137,'Section Calcs'!$AK$140:$AO$140,$A5,TRUE))</f>
        <v>0.12216283244844771</v>
      </c>
      <c r="E13" s="19">
        <f>_xll.Spline('Section Calcs'!$V$132:$AO$132,'Section Calcs'!$V$135:$AO$135,$A5,TRUE)</f>
        <v>1.3385914223652344</v>
      </c>
      <c r="F13" s="13">
        <f>_xll.Spline('Section Calcs'!$V$127:$AO$127,'Section Calcs'!$V$130:$AO$130,$A5,TRUE)</f>
        <v>2.5255856778811303</v>
      </c>
      <c r="G13" s="13">
        <f>_xll.Spline('Section Calcs'!$V$122:$AO$122,'Section Calcs'!$V$125:$AO$125,$A5,TRUE)</f>
        <v>3.6316352713353299</v>
      </c>
      <c r="H13" s="13">
        <f>_xll.Spline('Section Calcs'!$V$117:$AO$117,'Section Calcs'!$V$120:$AO$120,$A5,TRUE)</f>
        <v>4.6114308732736831</v>
      </c>
      <c r="I13" s="13">
        <f>_xll.Spline('Section Calcs'!$V$112:$AO$112,'Section Calcs'!$V$115:$AO$115,$A5,TRUE)</f>
        <v>5.431509503545934</v>
      </c>
      <c r="J13" s="13">
        <f>_xll.Spline('Section Calcs'!$V$107:$AO$107,'Section Calcs'!$V$110:$AO$110,$A5,TRUE)</f>
        <v>6.0835867725016</v>
      </c>
      <c r="K13" s="13">
        <f>_xll.Spline('Section Calcs'!$V$102:$AO$102,'Section Calcs'!$V$105:$AO$105,$A5,TRUE)</f>
        <v>6.5611030318699441</v>
      </c>
      <c r="L13" s="13">
        <f>_xll.Spline('Section Calcs'!$V$97:$AO$97,'Section Calcs'!$V$100:$AO$100,$A5,TRUE)</f>
        <v>6.8742524222651724</v>
      </c>
      <c r="M13" s="13">
        <f>_xll.Spline('Section Calcs'!$V$92:$AO$92,'Section Calcs'!$V$95:$AO$95,$A5,TRUE)</f>
        <v>7.0425496600204767</v>
      </c>
      <c r="N13" s="13">
        <f>_xll.Spline('Section Calcs'!$V$86:$AO$86,'Section Calcs'!$V$89:$AO$89,$A5,TRUE)</f>
        <v>7.0900381495407947</v>
      </c>
      <c r="O13" s="13">
        <f>IF(-O5&gt;Y5,_xll.Spline('Section Calcs'!$V$80:$AO$80,'Section Calcs'!$V$83:$AO$83,$A5,TRUE),"")</f>
        <v>7.0392201466842117</v>
      </c>
      <c r="P13" s="13">
        <f>IF(-P5&gt;Y5,_xll.Spline('Section Calcs'!$V$74:$AO$74,'Section Calcs'!$V$77:$AO$77,$A5,TRUE),"")</f>
        <v>6.9150787817662343</v>
      </c>
      <c r="Q13" s="13">
        <f>IF(-Q5&gt;Y5,_xll.Spline('Section Calcs'!$V$68:$AO$68,'Section Calcs'!$V$71:$AO$71,$A5,TRUE),IF(A5&gt;Profile!$B$18-Profile!$B$20,_xll.Spline(J5:P5,J13:P13,Q5,TRUE),""))</f>
        <v>6.7395226943746387</v>
      </c>
      <c r="R13" s="13">
        <f>IF(-R5&gt;Y5,_xll.Spline('Section Calcs'!$V$62:$AO$62,'Section Calcs'!$V$65:$AO$65,$A5,TRUE),IF(A5&gt;Profile!$B$18-Profile!$B$20,_xll.Spline(K5:Q5,K13:Q13,R5,TRUE),""))</f>
        <v>6.5295882050450089</v>
      </c>
      <c r="S13" s="13">
        <f>IF(-S5&gt;Y5,_xll.Spline('Section Calcs'!$V$56:$AO$56,'Section Calcs'!$V$59:$AO$59,$A5,TRUE),IF(A5&gt;Profile!$B$18-Profile!$B$20,_xll.Spline(L5:R5,L13:R13,S5,TRUE),""))</f>
        <v>6.2986706807830126</v>
      </c>
      <c r="T13" s="13">
        <f>IF(T5&gt;Y5,_xll.Spline('Section Calcs'!$V$50:$AO$50,'Section Calcs'!$V$53:$AO$53,$A5,TRUE),IF(A5&gt;Profile!$B$18-Profile!$B$20,_xll.Spline(N5:S5,N13:S13,T5,TRUE),""))</f>
        <v>6.0446004762412606</v>
      </c>
      <c r="U13" s="13">
        <f>IF(U5&gt;Y5,_xll.Spline('Section Calcs'!$V$44:$AO$44,'Section Calcs'!$V$47:$AO$47,$A5,TRUE),IF(A5&gt;Profile!$B$18-Profile!$B$20,_xll.Spline(N5:T5,N13:T13,U5,TRUE),""))</f>
        <v>5.7597185137173135</v>
      </c>
      <c r="V13" s="13">
        <f>IF(V5&gt;Y5,_xll.Spline('Section Calcs'!$V$38:$AO$38,'Section Calcs'!$V$41:$AO$41,$A5,TRUE),IF(A5&gt;Profile!$B$18-Profile!$B$20,_xll.Spline(N5:U5,N13:U13,V5,TRUE),""))</f>
        <v>5.4260350820765879</v>
      </c>
      <c r="W13" s="13">
        <f>IF(W5&gt;Y5,_xll.Spline('Section Calcs'!$V$32:$AO$32,'Section Calcs'!$V$35:$AO$35,$A5,TRUE),IF(A5&gt;Profile!$B$18-Profile!$B$20,_xll.Spline(N5:V5,N13:V13,W5,TRUE),""))</f>
        <v>5.0074748676574581</v>
      </c>
      <c r="X13" s="13">
        <f>IF(X5&gt;Y5,_xll.Spline('Section Calcs'!$V$26:$AO$26,'Section Calcs'!$V$29:$AO$29,$A5,TRUE),IF(A5&gt;Profile!$B$18-Profile!$B$20,_xll.Spline(N5:W5,N13:W13,X5,TRUE),""))</f>
        <v>4.4518756165913302</v>
      </c>
      <c r="Y13" s="13">
        <f>IF(X13="","",_xll.Spline(N5:X5,N13:X13,Y5,TRUE))</f>
        <v>4.4193574507827282</v>
      </c>
      <c r="Z13" s="13">
        <v>0</v>
      </c>
      <c r="AA13">
        <f t="shared" si="10"/>
        <v>-4.4193574507827282</v>
      </c>
    </row>
    <row r="14" spans="1:32" x14ac:dyDescent="0.25">
      <c r="B14">
        <v>0</v>
      </c>
      <c r="C14" s="19">
        <v>0</v>
      </c>
      <c r="D14" s="13">
        <f>IF(A6&lt;Profile!$B$18,0,_xll.Spline('Section Calcs'!$AK$137:$AO$137,'Section Calcs'!$AK$140:$AO$140,$A6,TRUE))</f>
        <v>0.60600167075487199</v>
      </c>
      <c r="E14" s="19">
        <f>_xll.Spline('Section Calcs'!$V$132:$AO$132,'Section Calcs'!$V$135:$AO$135,$A6,TRUE)</f>
        <v>1.9595247661544848</v>
      </c>
      <c r="F14" s="13">
        <f>_xll.Spline('Section Calcs'!$V$127:$AO$127,'Section Calcs'!$V$130:$AO$130,$A6,TRUE)</f>
        <v>3.2252523703036586</v>
      </c>
      <c r="G14" s="13">
        <f>_xll.Spline('Section Calcs'!$V$122:$AO$122,'Section Calcs'!$V$125:$AO$125,$A6,TRUE)</f>
        <v>4.3137129474651861</v>
      </c>
      <c r="H14" s="13">
        <f>_xll.Spline('Section Calcs'!$V$117:$AO$117,'Section Calcs'!$V$120:$AO$120,$A6,TRUE)</f>
        <v>5.17754546882282</v>
      </c>
      <c r="I14" s="13">
        <f>_xll.Spline('Section Calcs'!$V$112:$AO$112,'Section Calcs'!$V$115:$AO$115,$A6,TRUE)</f>
        <v>5.8193460408099984</v>
      </c>
      <c r="J14" s="13">
        <f>_xll.Spline('Section Calcs'!$V$107:$AO$107,'Section Calcs'!$V$110:$AO$110,$A6,TRUE)</f>
        <v>6.2768664003722225</v>
      </c>
      <c r="K14" s="13">
        <f>_xll.Spline('Section Calcs'!$V$102:$AO$102,'Section Calcs'!$V$105:$AO$105,$A6,TRUE)</f>
        <v>6.6004430875888058</v>
      </c>
      <c r="L14" s="13">
        <f>_xll.Spline('Section Calcs'!$V$97:$AO$97,'Section Calcs'!$V$100:$AO$100,$A6,TRUE)</f>
        <v>6.8341701597371509</v>
      </c>
      <c r="M14" s="13">
        <f>_xll.Spline('Section Calcs'!$V$92:$AO$92,'Section Calcs'!$V$95:$AO$95,$A6,TRUE)</f>
        <v>7.002659359973201</v>
      </c>
      <c r="N14" s="13">
        <f>_xll.Spline('Section Calcs'!$V$86:$AO$86,'Section Calcs'!$V$89:$AO$89,$A6,TRUE)</f>
        <v>7.1109362867116772</v>
      </c>
      <c r="O14" s="13">
        <f>IF(-O6&gt;Y6,_xll.Spline('Section Calcs'!$V$80:$AO$80,'Section Calcs'!$V$83:$AO$83,$A6,TRUE),"")</f>
        <v>7.1547161334162546</v>
      </c>
      <c r="P14" s="13">
        <f>IF(-P6&gt;Y6,_xll.Spline('Section Calcs'!$V$74:$AO$74,'Section Calcs'!$V$77:$AO$77,$A6,TRUE),"")</f>
        <v>7.1288795486709402</v>
      </c>
      <c r="Q14" s="13">
        <f>IF(-Q6&gt;Y6,_xll.Spline('Section Calcs'!$V$68:$AO$68,'Section Calcs'!$V$71:$AO$71,$A6,TRUE),IF(A6&gt;Profile!$B$18-Profile!$B$20,_xll.Spline(J6:P6,J14:P14,Q6,TRUE),""))</f>
        <v>7.0321745386178947</v>
      </c>
      <c r="R14" s="13">
        <f>IF(-R6&gt;Y6,_xll.Spline('Section Calcs'!$V$62:$AO$62,'Section Calcs'!$V$65:$AO$65,$A6,TRUE),IF(A6&gt;Profile!$B$18-Profile!$B$20,_xll.Spline(K6:Q6,K14:Q14,R6,TRUE),""))</f>
        <v>6.8638880213739499</v>
      </c>
      <c r="S14" s="13">
        <f>IF(-S6&gt;Y6,_xll.Spline('Section Calcs'!$V$56:$AO$56,'Section Calcs'!$V$59:$AO$59,$A6,TRUE),IF(A6&gt;Profile!$B$18-Profile!$B$20,_xll.Spline(L6:R6,L14:R14,S6,TRUE),""))</f>
        <v>6.6244053996980101</v>
      </c>
      <c r="T14" s="13">
        <f>IF(T6&gt;Y6,_xll.Spline('Section Calcs'!$V$50:$AO$50,'Section Calcs'!$V$53:$AO$53,$A6,TRUE),IF(A6&gt;Profile!$B$18-Profile!$B$20,_xll.Spline(N6:S6,N14:S14,T6,TRUE),""))</f>
        <v>6.3147349077190924</v>
      </c>
      <c r="U14" s="13">
        <f>IF(U6&gt;Y6,_xll.Spline('Section Calcs'!$V$44:$AO$44,'Section Calcs'!$V$47:$AO$47,$A6,TRUE),IF(A6&gt;Profile!$B$18-Profile!$B$20,_xll.Spline(N6:T6,N14:T14,U6,TRUE),""))</f>
        <v>5.9369041004800591</v>
      </c>
      <c r="V14" s="13">
        <f>IF(V6&gt;Y6,_xll.Spline('Section Calcs'!$V$38:$AO$38,'Section Calcs'!$V$41:$AO$41,$A6,TRUE),IF(A6&gt;Profile!$B$18-Profile!$B$20,_xll.Spline(N6:U6,N14:U14,V6,TRUE),""))</f>
        <v>5.4937969272198632</v>
      </c>
      <c r="W14" s="13">
        <f>IF(W6&gt;Y6,_xll.Spline('Section Calcs'!$V$32:$AO$32,'Section Calcs'!$V$35:$AO$35,$A6,TRUE),IF(A6&gt;Profile!$B$18-Profile!$B$20,_xll.Spline(N6:V6,N14:V14,W6,TRUE),""))</f>
        <v>4.9878605239614346</v>
      </c>
      <c r="X14" s="13">
        <f>IF(X6&gt;Y6,_xll.Spline('Section Calcs'!$V$26:$AO$26,'Section Calcs'!$V$29:$AO$29,$A6,TRUE),IF(A6&gt;Profile!$B$18-Profile!$B$20,_xll.Spline(N6:W6,N14:W14,X6,TRUE),""))</f>
        <v>4.4234828873452141</v>
      </c>
      <c r="Y14" s="13">
        <f>IF(X14="","",_xll.Spline(N6:X6,N14:X14,Y6,TRUE))</f>
        <v>4.3431379970981236</v>
      </c>
      <c r="Z14" s="13">
        <v>0</v>
      </c>
      <c r="AA14">
        <f t="shared" si="10"/>
        <v>-4.3431379970981236</v>
      </c>
    </row>
    <row r="15" spans="1:32" x14ac:dyDescent="0.25">
      <c r="B15">
        <v>0</v>
      </c>
      <c r="C15" s="19">
        <v>0</v>
      </c>
      <c r="D15" s="13">
        <f>IF(A7&lt;Profile!$B$18,0,_xll.Spline('Section Calcs'!$AK$137:$AO$137,'Section Calcs'!$AK$140:$AO$140,$A7,TRUE))</f>
        <v>1.4379465853323192</v>
      </c>
      <c r="E15" s="19">
        <f>_xll.Spline('Section Calcs'!$V$132:$AO$132,'Section Calcs'!$V$135:$AO$135,$A7,TRUE)</f>
        <v>2.9572995718021269</v>
      </c>
      <c r="F15" s="13">
        <f>_xll.Spline('Section Calcs'!$V$127:$AO$127,'Section Calcs'!$V$130:$AO$130,$A7,TRUE)</f>
        <v>4.1471998263847816</v>
      </c>
      <c r="G15" s="13">
        <f>_xll.Spline('Section Calcs'!$V$122:$AO$122,'Section Calcs'!$V$125:$AO$125,$A7,TRUE)</f>
        <v>5.0197704222821242</v>
      </c>
      <c r="H15" s="13">
        <f>_xll.Spline('Section Calcs'!$V$117:$AO$117,'Section Calcs'!$V$120:$AO$120,$A7,TRUE)</f>
        <v>5.6343273901527677</v>
      </c>
      <c r="I15" s="13">
        <f>_xll.Spline('Section Calcs'!$V$112:$AO$112,'Section Calcs'!$V$115:$AO$115,$A7,TRUE)</f>
        <v>6.0789446674120811</v>
      </c>
      <c r="J15" s="13">
        <f>_xll.Spline('Section Calcs'!$V$107:$AO$107,'Section Calcs'!$V$110:$AO$110,$A7,TRUE)</f>
        <v>6.4245460721852723</v>
      </c>
      <c r="K15" s="13">
        <f>_xll.Spline('Section Calcs'!$V$102:$AO$102,'Section Calcs'!$V$105:$AO$105,$A7,TRUE)</f>
        <v>6.6945365308582083</v>
      </c>
      <c r="L15" s="13">
        <f>_xll.Spline('Section Calcs'!$V$97:$AO$97,'Section Calcs'!$V$100:$AO$100,$A7,TRUE)</f>
        <v>6.8914974216669549</v>
      </c>
      <c r="M15" s="13">
        <f>_xll.Spline('Section Calcs'!$V$92:$AO$92,'Section Calcs'!$V$95:$AO$95,$A7,TRUE)</f>
        <v>7.0308469479860181</v>
      </c>
      <c r="N15" s="13">
        <f>_xll.Spline('Section Calcs'!$V$86:$AO$86,'Section Calcs'!$V$89:$AO$89,$A7,TRUE)</f>
        <v>7.1423072624017125</v>
      </c>
      <c r="O15" s="13">
        <f>IF(-O7&gt;Y7,_xll.Spline('Section Calcs'!$V$80:$AO$80,'Section Calcs'!$V$83:$AO$83,$A7,TRUE),"")</f>
        <v>7.231822311311352</v>
      </c>
      <c r="P15" s="13">
        <f>IF(-P7&gt;Y7,_xll.Spline('Section Calcs'!$V$74:$AO$74,'Section Calcs'!$V$77:$AO$77,$A7,TRUE),"")</f>
        <v>7.2932270432079793</v>
      </c>
      <c r="Q15" s="13">
        <f>IF(-Q7&gt;Y7,_xll.Spline('Section Calcs'!$V$68:$AO$68,'Section Calcs'!$V$71:$AO$71,$A7,TRUE),IF(A7&gt;Profile!$B$18-Profile!$B$20,_xll.Spline(J7:P7,J15:P15,Q7,TRUE),""))</f>
        <v>7.2942372755503015</v>
      </c>
      <c r="R15" s="13">
        <f>IF(-R7&gt;Y7,_xll.Spline('Section Calcs'!$V$62:$AO$62,'Section Calcs'!$V$65:$AO$65,$A7,TRUE),IF(A7&gt;Profile!$B$18-Profile!$B$20,_xll.Spline(K7:Q7,K15:Q15,R7,TRUE),""))</f>
        <v>7.1977389758245147</v>
      </c>
      <c r="S15" s="13">
        <f>IF(-S7&gt;Y7,_xll.Spline('Section Calcs'!$V$56:$AO$56,'Section Calcs'!$V$59:$AO$59,$A7,TRUE),IF(A7&gt;Profile!$B$18-Profile!$B$20,_xll.Spline(L7:R7,L15:R15,S7,TRUE),""))</f>
        <v>6.9774996528271309</v>
      </c>
      <c r="T15" s="13">
        <f>IF(T7&gt;Y7,_xll.Spline('Section Calcs'!$V$50:$AO$50,'Section Calcs'!$V$53:$AO$53,$A7,TRUE),IF(A7&gt;Profile!$B$18-Profile!$B$20,_xll.Spline(N7:S7,N15:S15,T7,TRUE),""))</f>
        <v>6.6083283108529454</v>
      </c>
      <c r="U15" s="13">
        <f>IF(U7&gt;Y7,_xll.Spline('Section Calcs'!$V$44:$AO$44,'Section Calcs'!$V$47:$AO$47,$A7,TRUE),IF(A7&gt;Profile!$B$18-Profile!$B$20,_xll.Spline(N7:T7,N15:T15,U7,TRUE),""))</f>
        <v>6.0995075147555866</v>
      </c>
      <c r="V15" s="13">
        <f>IF(V7&gt;Y7,_xll.Spline('Section Calcs'!$V$38:$AO$38,'Section Calcs'!$V$41:$AO$41,$A7,TRUE),IF(A7&gt;Profile!$B$18-Profile!$B$20,_xll.Spline(N7:U7,N15:U15,V7,TRUE),""))</f>
        <v>5.4921011224272061</v>
      </c>
      <c r="W15" s="13">
        <f>IF(W7&gt;Y7,_xll.Spline('Section Calcs'!$V$32:$AO$32,'Section Calcs'!$V$35:$AO$35,$A7,TRUE),IF(A7&gt;Profile!$B$18-Profile!$B$20,_xll.Spline(N7:V7,N15:V15,W7,TRUE),""))</f>
        <v>4.8619559001554524</v>
      </c>
      <c r="X15" s="13">
        <f>IF(X7&gt;Y7,_xll.Spline('Section Calcs'!$V$26:$AO$26,'Section Calcs'!$V$29:$AO$29,$A7,TRUE),IF(A7&gt;Profile!$B$18-Profile!$B$20,_xll.Spline(N7:W7,N15:W15,X7,TRUE),""))</f>
        <v>4.3310568689666953</v>
      </c>
      <c r="Y15" s="13">
        <f>IF(X15="","",_xll.Spline(N7:X7,N15:X15,Y7,TRUE))</f>
        <v>4.2528729598787267</v>
      </c>
      <c r="Z15" s="13">
        <v>0</v>
      </c>
      <c r="AA15">
        <f t="shared" si="10"/>
        <v>-4.2528729598787267</v>
      </c>
    </row>
    <row r="16" spans="1:32" x14ac:dyDescent="0.25">
      <c r="B16">
        <v>0</v>
      </c>
      <c r="C16" s="19">
        <v>0</v>
      </c>
      <c r="D16" s="13">
        <f>IF(A8&lt;Profile!$B$18,0,_xll.Spline('Section Calcs'!$AK$137:$AO$137,'Section Calcs'!$AK$140:$AO$140,$A8,TRUE))</f>
        <v>0.59574679092806004</v>
      </c>
      <c r="E16" s="19">
        <f>_xll.Spline('Section Calcs'!$V$132:$AO$132,'Section Calcs'!$V$135:$AO$135,$A8,TRUE)</f>
        <v>1.9465133955318101</v>
      </c>
      <c r="F16" s="13">
        <f>_xll.Spline('Section Calcs'!$V$127:$AO$127,'Section Calcs'!$V$130:$AO$130,$A8,TRUE)</f>
        <v>3.2119240951499806</v>
      </c>
      <c r="G16" s="13">
        <f>_xll.Spline('Section Calcs'!$V$122:$AO$122,'Section Calcs'!$V$125:$AO$125,$A8,TRUE)</f>
        <v>4.3027778402209096</v>
      </c>
      <c r="H16" s="13">
        <f>_xll.Spline('Section Calcs'!$V$117:$AO$117,'Section Calcs'!$V$120:$AO$120,$A8,TRUE)</f>
        <v>5.1709884928708156</v>
      </c>
      <c r="I16" s="13">
        <f>_xll.Spline('Section Calcs'!$V$112:$AO$112,'Section Calcs'!$V$115:$AO$115,$A8,TRUE)</f>
        <v>5.8176037297806342</v>
      </c>
      <c r="J16" s="13">
        <f>_xll.Spline('Section Calcs'!$V$107:$AO$107,'Section Calcs'!$V$110:$AO$110,$A8,TRUE)</f>
        <v>6.2790426770176975</v>
      </c>
      <c r="K16" s="13">
        <f>_xll.Spline('Section Calcs'!$V$102:$AO$102,'Section Calcs'!$V$105:$AO$105,$A8,TRUE)</f>
        <v>6.6047753722906393</v>
      </c>
      <c r="L16" s="13">
        <f>_xll.Spline('Section Calcs'!$V$97:$AO$97,'Section Calcs'!$V$100:$AO$100,$A8,TRUE)</f>
        <v>6.8386511149847697</v>
      </c>
      <c r="M16" s="13">
        <f>_xll.Spline('Section Calcs'!$V$92:$AO$92,'Section Calcs'!$V$95:$AO$95,$A8,TRUE)</f>
        <v>7.0055329520672602</v>
      </c>
      <c r="N16" s="13">
        <f>_xll.Spline('Section Calcs'!$V$86:$AO$86,'Section Calcs'!$V$89:$AO$89,$A8,TRUE)</f>
        <v>7.1110077346510696</v>
      </c>
      <c r="O16" s="13">
        <f>IF(-O8&gt;Y8,_xll.Spline('Section Calcs'!$V$80:$AO$80,'Section Calcs'!$V$83:$AO$83,$A8,TRUE),"")</f>
        <v>7.1514950326669675</v>
      </c>
      <c r="P16" s="13">
        <f>IF(-P8&gt;Y8,_xll.Spline('Section Calcs'!$V$74:$AO$74,'Section Calcs'!$V$77:$AO$77,$A8,TRUE),"")</f>
        <v>7.1226465812408133</v>
      </c>
      <c r="Q16" s="13">
        <f>IF(-Q8&gt;Y8,_xll.Spline('Section Calcs'!$V$68:$AO$68,'Section Calcs'!$V$71:$AO$71,$A8,TRUE),IF(A8&gt;Profile!$B$18-Profile!$B$20,_xll.Spline(J8:P8,J16:P16,Q8,TRUE),""))</f>
        <v>7.023871484950706</v>
      </c>
      <c r="R16" s="13">
        <f>IF(-R8&gt;Y8,_xll.Spline('Section Calcs'!$V$62:$AO$62,'Section Calcs'!$V$65:$AO$65,$A8,TRUE),IF(A8&gt;Profile!$B$18-Profile!$B$20,_xll.Spline(K8:Q8,K16:Q16,R8,TRUE),""))</f>
        <v>6.8549363274879553</v>
      </c>
      <c r="S16" s="13">
        <f>IF(-S8&gt;Y8,_xll.Spline('Section Calcs'!$V$56:$AO$56,'Section Calcs'!$V$59:$AO$59,$A8,TRUE),IF(A8&gt;Profile!$B$18-Profile!$B$20,_xll.Spline(L8:R8,L16:R16,S8,TRUE),""))</f>
        <v>6.6164656021596429</v>
      </c>
      <c r="T16" s="13">
        <f>IF(T8&gt;Y8,_xll.Spline('Section Calcs'!$V$50:$AO$50,'Section Calcs'!$V$53:$AO$53,$A8,TRUE),IF(A8&gt;Profile!$B$18-Profile!$B$20,_xll.Spline(N8:S8,N16:S16,T8,TRUE),""))</f>
        <v>6.3093171779245747</v>
      </c>
      <c r="U16" s="13">
        <f>IF(U8&gt;Y8,_xll.Spline('Section Calcs'!$V$44:$AO$44,'Section Calcs'!$V$47:$AO$47,$A8,TRUE),IF(A8&gt;Profile!$B$18-Profile!$B$20,_xll.Spline(N8:T8,N16:T16,U8,TRUE),""))</f>
        <v>5.9350056813135614</v>
      </c>
      <c r="V16" s="13">
        <f>IF(V8&gt;Y8,_xll.Spline('Section Calcs'!$V$38:$AO$38,'Section Calcs'!$V$41:$AO$41,$A8,TRUE),IF(A8&gt;Profile!$B$18-Profile!$B$20,_xll.Spline(N8:U8,N16:U16,V8,TRUE),""))</f>
        <v>5.4954651999512389</v>
      </c>
      <c r="W16" s="13">
        <f>IF(W8&gt;Y8,_xll.Spline('Section Calcs'!$V$32:$AO$32,'Section Calcs'!$V$35:$AO$35,$A8,TRUE),IF(A8&gt;Profile!$B$18-Profile!$B$20,_xll.Spline(N8:V8,N16:V16,W8,TRUE),""))</f>
        <v>4.9916339358613104</v>
      </c>
      <c r="X16" s="13">
        <f>IF(X8&gt;Y8,_xll.Spline('Section Calcs'!$V$26:$AO$26,'Section Calcs'!$V$29:$AO$29,$A8,TRUE),IF(A8&gt;Profile!$B$18-Profile!$B$20,_xll.Spline(N8:W8,N16:W16,X8,TRUE),""))</f>
        <v>4.4258383258403278</v>
      </c>
      <c r="Y16" s="13">
        <f>IF(X16="","",_xll.Spline(N8:X8,N16:X16,Y8,TRUE))</f>
        <v>4.3459338202478976</v>
      </c>
      <c r="Z16" s="13">
        <v>0</v>
      </c>
      <c r="AA16">
        <f t="shared" si="10"/>
        <v>-4.3459338202478976</v>
      </c>
    </row>
    <row r="17" spans="2:26" x14ac:dyDescent="0.25">
      <c r="S17" s="13"/>
      <c r="X17" s="13"/>
    </row>
    <row r="18" spans="2:26" x14ac:dyDescent="0.25">
      <c r="B18">
        <f>-B11</f>
        <v>0</v>
      </c>
      <c r="C18">
        <f t="shared" ref="C18:Z18" si="11">-C11</f>
        <v>0</v>
      </c>
      <c r="D18" s="13">
        <f>IF(D11="","",-D11)</f>
        <v>0</v>
      </c>
      <c r="E18" s="13">
        <f t="shared" ref="E18:Y23" si="12">IF(E11="","",-E11)</f>
        <v>-0.16905413909984504</v>
      </c>
      <c r="F18" s="13">
        <f t="shared" si="12"/>
        <v>-0.66797385517911279</v>
      </c>
      <c r="G18" s="13">
        <f t="shared" si="12"/>
        <v>-1.3951362186852267</v>
      </c>
      <c r="H18" s="13">
        <f t="shared" si="12"/>
        <v>-2.3878078048067595</v>
      </c>
      <c r="I18" s="13">
        <f t="shared" si="12"/>
        <v>-3.322926079490947</v>
      </c>
      <c r="J18" s="13">
        <f t="shared" si="12"/>
        <v>-4.02344305483936</v>
      </c>
      <c r="K18" s="13">
        <f t="shared" si="12"/>
        <v>-4.6940450319914584</v>
      </c>
      <c r="L18" s="13">
        <f t="shared" si="12"/>
        <v>-5.2800249895400979</v>
      </c>
      <c r="M18" s="13">
        <f t="shared" si="12"/>
        <v>-5.6289500093689773</v>
      </c>
      <c r="N18" s="13">
        <f t="shared" si="12"/>
        <v>-5.6933718772418453</v>
      </c>
      <c r="O18" s="13">
        <f t="shared" si="12"/>
        <v>-5.4967240334825229</v>
      </c>
      <c r="P18" s="13">
        <f t="shared" si="12"/>
        <v>-5.0727236492316639</v>
      </c>
      <c r="Q18" s="13">
        <f t="shared" si="12"/>
        <v>-4.4685713906513849</v>
      </c>
      <c r="R18" s="13">
        <f t="shared" si="12"/>
        <v>-3.6904282192606428</v>
      </c>
      <c r="S18" s="13">
        <f t="shared" si="12"/>
        <v>-2.3992569191468012</v>
      </c>
      <c r="T18" s="13">
        <f t="shared" si="12"/>
        <v>-0.90513436105136535</v>
      </c>
      <c r="U18" s="13" t="str">
        <f t="shared" si="12"/>
        <v/>
      </c>
      <c r="V18" s="13" t="str">
        <f t="shared" si="12"/>
        <v/>
      </c>
      <c r="W18" s="13" t="str">
        <f t="shared" si="12"/>
        <v/>
      </c>
      <c r="X18" s="13" t="str">
        <f t="shared" si="12"/>
        <v/>
      </c>
      <c r="Y18" s="13" t="str">
        <f t="shared" si="12"/>
        <v/>
      </c>
      <c r="Z18" s="13">
        <f t="shared" si="11"/>
        <v>0</v>
      </c>
    </row>
    <row r="19" spans="2:26" x14ac:dyDescent="0.25">
      <c r="B19">
        <f t="shared" ref="B19:Z23" si="13">-B12</f>
        <v>0</v>
      </c>
      <c r="C19">
        <f t="shared" si="13"/>
        <v>0</v>
      </c>
      <c r="D19" s="13">
        <f t="shared" ref="D19:S23" si="14">IF(D12="","",-D12)</f>
        <v>0</v>
      </c>
      <c r="E19" s="13">
        <f t="shared" si="14"/>
        <v>-1.0078522015742841</v>
      </c>
      <c r="F19" s="13">
        <f t="shared" si="14"/>
        <v>-2.0595502345494539</v>
      </c>
      <c r="G19" s="13">
        <f t="shared" si="14"/>
        <v>-3.086836101997847</v>
      </c>
      <c r="H19" s="13">
        <f t="shared" si="14"/>
        <v>-3.9330761509517815</v>
      </c>
      <c r="I19" s="13">
        <f t="shared" si="14"/>
        <v>-4.4887817787165218</v>
      </c>
      <c r="J19" s="13">
        <f t="shared" si="14"/>
        <v>-5.160004850372256</v>
      </c>
      <c r="K19" s="13">
        <f t="shared" si="14"/>
        <v>-5.7640656060524549</v>
      </c>
      <c r="L19" s="13">
        <f t="shared" si="14"/>
        <v>-6.2835230006703853</v>
      </c>
      <c r="M19" s="13">
        <f t="shared" si="14"/>
        <v>-6.6923948336949834</v>
      </c>
      <c r="N19" s="13">
        <f t="shared" si="14"/>
        <v>-6.9668188127410229</v>
      </c>
      <c r="O19" s="13">
        <f t="shared" si="14"/>
        <v>-7.0442645443874214</v>
      </c>
      <c r="P19" s="13">
        <f t="shared" si="14"/>
        <v>-6.9677654601916093</v>
      </c>
      <c r="Q19" s="13">
        <f t="shared" si="14"/>
        <v>-6.7803590137793748</v>
      </c>
      <c r="R19" s="13">
        <f t="shared" si="14"/>
        <v>-6.5004346897778627</v>
      </c>
      <c r="S19" s="13">
        <f t="shared" si="14"/>
        <v>-6.2634333182368822</v>
      </c>
      <c r="T19" s="13">
        <f t="shared" si="12"/>
        <v>-5.8566723903314513</v>
      </c>
      <c r="U19" s="13">
        <f t="shared" si="12"/>
        <v>-5.3672528861959083</v>
      </c>
      <c r="V19" s="13">
        <f t="shared" si="12"/>
        <v>-4.7278891375518182</v>
      </c>
      <c r="W19" s="13">
        <f t="shared" si="12"/>
        <v>-3.4784594312051449</v>
      </c>
      <c r="X19" s="13" t="str">
        <f t="shared" si="12"/>
        <v/>
      </c>
      <c r="Y19" s="13" t="str">
        <f t="shared" si="12"/>
        <v/>
      </c>
      <c r="Z19" s="13">
        <f t="shared" si="13"/>
        <v>0</v>
      </c>
    </row>
    <row r="20" spans="2:26" x14ac:dyDescent="0.25">
      <c r="B20">
        <f t="shared" si="13"/>
        <v>0</v>
      </c>
      <c r="C20">
        <f t="shared" si="13"/>
        <v>0</v>
      </c>
      <c r="D20" s="13">
        <f t="shared" si="14"/>
        <v>-0.12216283244844771</v>
      </c>
      <c r="E20" s="13">
        <f t="shared" si="12"/>
        <v>-1.3385914223652344</v>
      </c>
      <c r="F20" s="13">
        <f t="shared" si="12"/>
        <v>-2.5255856778811303</v>
      </c>
      <c r="G20" s="13">
        <f t="shared" si="12"/>
        <v>-3.6316352713353299</v>
      </c>
      <c r="H20" s="13">
        <f t="shared" si="12"/>
        <v>-4.6114308732736831</v>
      </c>
      <c r="I20" s="13">
        <f t="shared" si="12"/>
        <v>-5.431509503545934</v>
      </c>
      <c r="J20" s="13">
        <f t="shared" si="12"/>
        <v>-6.0835867725016</v>
      </c>
      <c r="K20" s="13">
        <f t="shared" si="12"/>
        <v>-6.5611030318699441</v>
      </c>
      <c r="L20" s="13">
        <f t="shared" si="12"/>
        <v>-6.8742524222651724</v>
      </c>
      <c r="M20" s="13">
        <f t="shared" si="12"/>
        <v>-7.0425496600204767</v>
      </c>
      <c r="N20" s="13">
        <f t="shared" si="12"/>
        <v>-7.0900381495407947</v>
      </c>
      <c r="O20" s="13">
        <f t="shared" si="12"/>
        <v>-7.0392201466842117</v>
      </c>
      <c r="P20" s="13">
        <f t="shared" si="12"/>
        <v>-6.9150787817662343</v>
      </c>
      <c r="Q20" s="13">
        <f t="shared" si="12"/>
        <v>-6.7395226943746387</v>
      </c>
      <c r="R20" s="13">
        <f t="shared" si="12"/>
        <v>-6.5295882050450089</v>
      </c>
      <c r="S20" s="13">
        <f t="shared" si="12"/>
        <v>-6.2986706807830126</v>
      </c>
      <c r="T20" s="13">
        <f t="shared" si="12"/>
        <v>-6.0446004762412606</v>
      </c>
      <c r="U20" s="13">
        <f t="shared" si="12"/>
        <v>-5.7597185137173135</v>
      </c>
      <c r="V20" s="13">
        <f t="shared" si="12"/>
        <v>-5.4260350820765879</v>
      </c>
      <c r="W20" s="13">
        <f t="shared" si="12"/>
        <v>-5.0074748676574581</v>
      </c>
      <c r="X20" s="13">
        <f t="shared" si="12"/>
        <v>-4.4518756165913302</v>
      </c>
      <c r="Y20" s="13">
        <f t="shared" si="12"/>
        <v>-4.4193574507827282</v>
      </c>
      <c r="Z20" s="13">
        <f t="shared" si="13"/>
        <v>0</v>
      </c>
    </row>
    <row r="21" spans="2:26" x14ac:dyDescent="0.25">
      <c r="B21">
        <f t="shared" si="13"/>
        <v>0</v>
      </c>
      <c r="C21">
        <f t="shared" si="13"/>
        <v>0</v>
      </c>
      <c r="D21" s="13">
        <f t="shared" si="14"/>
        <v>-0.60600167075487199</v>
      </c>
      <c r="E21" s="13">
        <f t="shared" si="12"/>
        <v>-1.9595247661544848</v>
      </c>
      <c r="F21" s="13">
        <f t="shared" si="12"/>
        <v>-3.2252523703036586</v>
      </c>
      <c r="G21" s="13">
        <f t="shared" si="12"/>
        <v>-4.3137129474651861</v>
      </c>
      <c r="H21" s="13">
        <f t="shared" si="12"/>
        <v>-5.17754546882282</v>
      </c>
      <c r="I21" s="13">
        <f t="shared" si="12"/>
        <v>-5.8193460408099984</v>
      </c>
      <c r="J21" s="13">
        <f t="shared" si="12"/>
        <v>-6.2768664003722225</v>
      </c>
      <c r="K21" s="13">
        <f t="shared" si="12"/>
        <v>-6.6004430875888058</v>
      </c>
      <c r="L21" s="13">
        <f t="shared" si="12"/>
        <v>-6.8341701597371509</v>
      </c>
      <c r="M21" s="13">
        <f t="shared" si="12"/>
        <v>-7.002659359973201</v>
      </c>
      <c r="N21" s="13">
        <f t="shared" si="12"/>
        <v>-7.1109362867116772</v>
      </c>
      <c r="O21" s="13">
        <f t="shared" si="12"/>
        <v>-7.1547161334162546</v>
      </c>
      <c r="P21" s="13">
        <f t="shared" si="12"/>
        <v>-7.1288795486709402</v>
      </c>
      <c r="Q21" s="13">
        <f t="shared" si="12"/>
        <v>-7.0321745386178947</v>
      </c>
      <c r="R21" s="13">
        <f t="shared" si="12"/>
        <v>-6.8638880213739499</v>
      </c>
      <c r="S21" s="13">
        <f t="shared" si="12"/>
        <v>-6.6244053996980101</v>
      </c>
      <c r="T21" s="13">
        <f t="shared" si="12"/>
        <v>-6.3147349077190924</v>
      </c>
      <c r="U21" s="13">
        <f t="shared" si="12"/>
        <v>-5.9369041004800591</v>
      </c>
      <c r="V21" s="13">
        <f t="shared" si="12"/>
        <v>-5.4937969272198632</v>
      </c>
      <c r="W21" s="13">
        <f t="shared" si="12"/>
        <v>-4.9878605239614346</v>
      </c>
      <c r="X21" s="13">
        <f t="shared" si="12"/>
        <v>-4.4234828873452141</v>
      </c>
      <c r="Y21" s="13">
        <f t="shared" si="12"/>
        <v>-4.3431379970981236</v>
      </c>
      <c r="Z21" s="13">
        <f t="shared" si="13"/>
        <v>0</v>
      </c>
    </row>
    <row r="22" spans="2:26" x14ac:dyDescent="0.25">
      <c r="B22">
        <f t="shared" si="13"/>
        <v>0</v>
      </c>
      <c r="C22">
        <f t="shared" si="13"/>
        <v>0</v>
      </c>
      <c r="D22" s="13">
        <f t="shared" si="14"/>
        <v>-1.4379465853323192</v>
      </c>
      <c r="E22" s="13">
        <f t="shared" si="12"/>
        <v>-2.9572995718021269</v>
      </c>
      <c r="F22" s="13">
        <f t="shared" si="12"/>
        <v>-4.1471998263847816</v>
      </c>
      <c r="G22" s="13">
        <f t="shared" si="12"/>
        <v>-5.0197704222821242</v>
      </c>
      <c r="H22" s="13">
        <f t="shared" si="12"/>
        <v>-5.6343273901527677</v>
      </c>
      <c r="I22" s="13">
        <f t="shared" si="12"/>
        <v>-6.0789446674120811</v>
      </c>
      <c r="J22" s="13">
        <f t="shared" si="12"/>
        <v>-6.4245460721852723</v>
      </c>
      <c r="K22" s="13">
        <f t="shared" si="12"/>
        <v>-6.6945365308582083</v>
      </c>
      <c r="L22" s="13">
        <f t="shared" si="12"/>
        <v>-6.8914974216669549</v>
      </c>
      <c r="M22" s="13">
        <f t="shared" si="12"/>
        <v>-7.0308469479860181</v>
      </c>
      <c r="N22" s="13">
        <f t="shared" si="12"/>
        <v>-7.1423072624017125</v>
      </c>
      <c r="O22" s="13">
        <f t="shared" si="12"/>
        <v>-7.231822311311352</v>
      </c>
      <c r="P22" s="13">
        <f t="shared" si="12"/>
        <v>-7.2932270432079793</v>
      </c>
      <c r="Q22" s="13">
        <f t="shared" si="12"/>
        <v>-7.2942372755503015</v>
      </c>
      <c r="R22" s="13">
        <f t="shared" si="12"/>
        <v>-7.1977389758245147</v>
      </c>
      <c r="S22" s="13">
        <f t="shared" si="12"/>
        <v>-6.9774996528271309</v>
      </c>
      <c r="T22" s="13">
        <f t="shared" si="12"/>
        <v>-6.6083283108529454</v>
      </c>
      <c r="U22" s="13">
        <f t="shared" si="12"/>
        <v>-6.0995075147555866</v>
      </c>
      <c r="V22" s="13">
        <f t="shared" si="12"/>
        <v>-5.4921011224272061</v>
      </c>
      <c r="W22" s="13">
        <f t="shared" si="12"/>
        <v>-4.8619559001554524</v>
      </c>
      <c r="X22" s="13">
        <f t="shared" si="12"/>
        <v>-4.3310568689666953</v>
      </c>
      <c r="Y22" s="13">
        <f t="shared" si="12"/>
        <v>-4.2528729598787267</v>
      </c>
      <c r="Z22" s="13">
        <f t="shared" si="13"/>
        <v>0</v>
      </c>
    </row>
    <row r="23" spans="2:26" x14ac:dyDescent="0.25">
      <c r="B23">
        <f t="shared" si="13"/>
        <v>0</v>
      </c>
      <c r="C23">
        <f t="shared" si="13"/>
        <v>0</v>
      </c>
      <c r="D23" s="13">
        <f t="shared" si="14"/>
        <v>-0.59574679092806004</v>
      </c>
      <c r="E23" s="13">
        <f t="shared" si="12"/>
        <v>-1.9465133955318101</v>
      </c>
      <c r="F23" s="13">
        <f t="shared" si="12"/>
        <v>-3.2119240951499806</v>
      </c>
      <c r="G23" s="13">
        <f t="shared" si="12"/>
        <v>-4.3027778402209096</v>
      </c>
      <c r="H23" s="13">
        <f t="shared" si="12"/>
        <v>-5.1709884928708156</v>
      </c>
      <c r="I23" s="13">
        <f t="shared" si="12"/>
        <v>-5.8176037297806342</v>
      </c>
      <c r="J23" s="13">
        <f t="shared" si="12"/>
        <v>-6.2790426770176975</v>
      </c>
      <c r="K23" s="13">
        <f t="shared" si="12"/>
        <v>-6.6047753722906393</v>
      </c>
      <c r="L23" s="13">
        <f t="shared" si="12"/>
        <v>-6.8386511149847697</v>
      </c>
      <c r="M23" s="13">
        <f t="shared" si="12"/>
        <v>-7.0055329520672602</v>
      </c>
      <c r="N23" s="13">
        <f t="shared" si="12"/>
        <v>-7.1110077346510696</v>
      </c>
      <c r="O23" s="13">
        <f t="shared" si="12"/>
        <v>-7.1514950326669675</v>
      </c>
      <c r="P23" s="13">
        <f t="shared" si="12"/>
        <v>-7.1226465812408133</v>
      </c>
      <c r="Q23" s="13">
        <f t="shared" si="12"/>
        <v>-7.023871484950706</v>
      </c>
      <c r="R23" s="13">
        <f t="shared" si="12"/>
        <v>-6.8549363274879553</v>
      </c>
      <c r="S23" s="13">
        <f t="shared" si="12"/>
        <v>-6.6164656021596429</v>
      </c>
      <c r="T23" s="13">
        <f t="shared" si="12"/>
        <v>-6.3093171779245747</v>
      </c>
      <c r="U23" s="13">
        <f t="shared" si="12"/>
        <v>-5.9350056813135614</v>
      </c>
      <c r="V23" s="13">
        <f t="shared" si="12"/>
        <v>-5.4954651999512389</v>
      </c>
      <c r="W23" s="13">
        <f t="shared" si="12"/>
        <v>-4.9916339358613104</v>
      </c>
      <c r="X23" s="13">
        <f t="shared" si="12"/>
        <v>-4.4258383258403278</v>
      </c>
      <c r="Y23" s="13">
        <f t="shared" si="12"/>
        <v>-4.3459338202478976</v>
      </c>
      <c r="Z23" s="13">
        <f t="shared" si="13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7"/>
  <sheetViews>
    <sheetView topLeftCell="A4" workbookViewId="0">
      <selection activeCell="B22" sqref="B22"/>
    </sheetView>
  </sheetViews>
  <sheetFormatPr defaultRowHeight="12.75" x14ac:dyDescent="0.2"/>
  <cols>
    <col min="1" max="1" width="1.7109375" style="99" customWidth="1"/>
    <col min="2" max="16" width="9.140625" style="99"/>
    <col min="17" max="17" width="1.7109375" style="99" customWidth="1"/>
    <col min="18" max="16384" width="9.140625" style="99"/>
  </cols>
  <sheetData>
    <row r="1" spans="2:16" ht="13.5" thickBot="1" x14ac:dyDescent="0.25"/>
    <row r="2" spans="2:16" x14ac:dyDescent="0.2"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2"/>
    </row>
    <row r="3" spans="2:16" ht="23.25" x14ac:dyDescent="0.35">
      <c r="B3" s="288" t="s">
        <v>160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90"/>
    </row>
    <row r="4" spans="2:16" x14ac:dyDescent="0.2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</row>
    <row r="5" spans="2:16" x14ac:dyDescent="0.2">
      <c r="B5" s="103"/>
      <c r="C5" s="104" t="s">
        <v>161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5"/>
    </row>
    <row r="6" spans="2:16" x14ac:dyDescent="0.2">
      <c r="B6" s="103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16" x14ac:dyDescent="0.2">
      <c r="B7" s="103"/>
      <c r="C7" s="106"/>
      <c r="D7" s="107"/>
      <c r="E7" s="106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5"/>
    </row>
    <row r="8" spans="2:16" x14ac:dyDescent="0.2">
      <c r="B8" s="103"/>
      <c r="C8" s="106"/>
      <c r="D8" s="107"/>
      <c r="E8" s="108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5"/>
    </row>
    <row r="9" spans="2:16" x14ac:dyDescent="0.2">
      <c r="B9" s="103"/>
      <c r="C9" s="106"/>
      <c r="D9" s="107"/>
      <c r="E9" s="106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0" spans="2:16" x14ac:dyDescent="0.2">
      <c r="B10" s="103"/>
      <c r="C10" s="106"/>
      <c r="D10" s="107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5"/>
    </row>
    <row r="11" spans="2:16" x14ac:dyDescent="0.2">
      <c r="B11" s="103"/>
      <c r="C11" s="106"/>
      <c r="D11" s="107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5"/>
    </row>
    <row r="12" spans="2:16" x14ac:dyDescent="0.2">
      <c r="B12" s="103"/>
      <c r="C12" s="106"/>
      <c r="D12" s="107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5"/>
    </row>
    <row r="13" spans="2:16" x14ac:dyDescent="0.2">
      <c r="B13" s="103"/>
      <c r="C13" s="106"/>
      <c r="D13" s="107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5"/>
    </row>
    <row r="14" spans="2:16" x14ac:dyDescent="0.2">
      <c r="B14" s="103"/>
      <c r="C14" s="106"/>
      <c r="D14" s="107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</row>
    <row r="15" spans="2:16" x14ac:dyDescent="0.2">
      <c r="B15" s="103"/>
      <c r="C15" s="106"/>
      <c r="D15" s="107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5"/>
    </row>
    <row r="16" spans="2:16" x14ac:dyDescent="0.2">
      <c r="B16" s="103"/>
      <c r="C16" s="106"/>
      <c r="D16" s="107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5"/>
    </row>
    <row r="17" spans="2:16" ht="13.5" thickBot="1" x14ac:dyDescent="0.25"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5"/>
    </row>
  </sheetData>
  <mergeCells count="1">
    <mergeCell ref="B3:P3"/>
  </mergeCells>
  <phoneticPr fontId="12" type="noConversion"/>
  <printOptions horizontalCentered="1" verticalCentered="1"/>
  <pageMargins left="0.75" right="0.75" top="1" bottom="1" header="0.5" footer="0.5"/>
  <pageSetup scale="8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6"/>
  <sheetViews>
    <sheetView zoomScale="90" zoomScaleNormal="90" workbookViewId="0">
      <selection activeCell="B22" sqref="B22"/>
    </sheetView>
  </sheetViews>
  <sheetFormatPr defaultRowHeight="15" x14ac:dyDescent="0.25"/>
  <sheetData>
    <row r="1" spans="1:4" x14ac:dyDescent="0.25">
      <c r="A1" t="s">
        <v>381</v>
      </c>
      <c r="B1">
        <f>Inputs!$B$3/20*'Section Calcs'!$A$27</f>
        <v>126.49353816142406</v>
      </c>
      <c r="C1" s="13">
        <f>'Section Calcs'!$V$26</f>
        <v>3.9920961237765931</v>
      </c>
      <c r="D1" s="13">
        <f>'Section Calcs'!$V$29</f>
        <v>0</v>
      </c>
    </row>
    <row r="2" spans="1:4" x14ac:dyDescent="0.25">
      <c r="A2" t="s">
        <v>381</v>
      </c>
      <c r="B2">
        <f>Inputs!$B$3/20*'Section Calcs'!$A$27</f>
        <v>126.49353816142406</v>
      </c>
      <c r="C2" s="13">
        <f>'Section Calcs'!$W$26</f>
        <v>4.0006897524762408</v>
      </c>
      <c r="D2" s="13">
        <f>'Section Calcs'!$W$29</f>
        <v>5.2937166452104896E-2</v>
      </c>
    </row>
    <row r="3" spans="1:4" x14ac:dyDescent="0.25">
      <c r="A3" t="s">
        <v>381</v>
      </c>
      <c r="B3">
        <f>Inputs!$B$3/20*'Section Calcs'!$A$27</f>
        <v>126.49353816142406</v>
      </c>
      <c r="C3" s="13">
        <f>'Section Calcs'!$X$26</f>
        <v>4.0178770098755363</v>
      </c>
      <c r="D3" s="13">
        <f>'Section Calcs'!$X$29</f>
        <v>0.16544872632776214</v>
      </c>
    </row>
    <row r="4" spans="1:4" x14ac:dyDescent="0.25">
      <c r="A4" t="s">
        <v>381</v>
      </c>
      <c r="B4">
        <f>Inputs!$B$3/20*'Section Calcs'!$A$27</f>
        <v>126.49353816142406</v>
      </c>
      <c r="C4" s="13">
        <f>'Section Calcs'!$Y$26</f>
        <v>4.0350642672748318</v>
      </c>
      <c r="D4" s="13">
        <f>'Section Calcs'!$Y$29</f>
        <v>0.2859545022834683</v>
      </c>
    </row>
    <row r="5" spans="1:4" x14ac:dyDescent="0.25">
      <c r="A5" t="s">
        <v>381</v>
      </c>
      <c r="B5">
        <f>Inputs!$B$3/20*'Section Calcs'!$A$27</f>
        <v>126.49353816142406</v>
      </c>
      <c r="C5" s="13">
        <f>'Section Calcs'!$Z$26</f>
        <v>4.0522515246741273</v>
      </c>
      <c r="D5" s="13">
        <f>'Section Calcs'!$Z$29</f>
        <v>0.41345969721352932</v>
      </c>
    </row>
    <row r="6" spans="1:4" x14ac:dyDescent="0.25">
      <c r="A6" t="s">
        <v>381</v>
      </c>
      <c r="B6">
        <f>Inputs!$B$3/20*'Section Calcs'!$A$27</f>
        <v>126.49353816142406</v>
      </c>
      <c r="C6" s="13">
        <f>'Section Calcs'!$AA$26</f>
        <v>4.0780324107730701</v>
      </c>
      <c r="D6" s="13">
        <f>'Section Calcs'!$AA$29</f>
        <v>0.61575445675841423</v>
      </c>
    </row>
    <row r="7" spans="1:4" x14ac:dyDescent="0.25">
      <c r="A7" t="s">
        <v>381</v>
      </c>
      <c r="B7">
        <f>Inputs!$B$3/20*'Section Calcs'!$A$27</f>
        <v>126.49353816142406</v>
      </c>
      <c r="C7" s="13">
        <f>'Section Calcs'!$AB$26</f>
        <v>4.1210005542713084</v>
      </c>
      <c r="D7" s="13">
        <f>'Section Calcs'!$AB$29</f>
        <v>0.97484699466596947</v>
      </c>
    </row>
    <row r="8" spans="1:4" x14ac:dyDescent="0.25">
      <c r="A8" t="s">
        <v>381</v>
      </c>
      <c r="B8">
        <f>Inputs!$B$3/20*'Section Calcs'!$A$27</f>
        <v>126.49353816142406</v>
      </c>
      <c r="C8" s="13">
        <f>'Section Calcs'!$AC$26</f>
        <v>4.1639686977695476</v>
      </c>
      <c r="D8" s="13">
        <f>'Section Calcs'!$AC$29</f>
        <v>1.3500947272724113</v>
      </c>
    </row>
    <row r="9" spans="1:4" x14ac:dyDescent="0.25">
      <c r="A9" t="s">
        <v>381</v>
      </c>
      <c r="B9">
        <f>Inputs!$B$3/20*'Section Calcs'!$A$27</f>
        <v>126.49353816142406</v>
      </c>
      <c r="C9" s="13">
        <f>'Section Calcs'!$AD$26</f>
        <v>4.2499049847660242</v>
      </c>
      <c r="D9" s="13">
        <f>'Section Calcs'!$AD$29</f>
        <v>2.103583621772787</v>
      </c>
    </row>
    <row r="10" spans="1:4" x14ac:dyDescent="0.25">
      <c r="A10" t="s">
        <v>381</v>
      </c>
      <c r="B10">
        <f>Inputs!$B$3/20*'Section Calcs'!$A$27</f>
        <v>126.49353816142406</v>
      </c>
      <c r="C10" s="13">
        <f>'Section Calcs'!$AE$26</f>
        <v>4.3358412717625017</v>
      </c>
      <c r="D10" s="13">
        <f>'Section Calcs'!$AE$29</f>
        <v>2.7994316308926606</v>
      </c>
    </row>
    <row r="11" spans="1:4" x14ac:dyDescent="0.25">
      <c r="A11" t="s">
        <v>381</v>
      </c>
      <c r="B11">
        <f>Inputs!$B$3/20*'Section Calcs'!$A$27</f>
        <v>126.49353816142406</v>
      </c>
      <c r="C11" s="13">
        <f>'Section Calcs'!$AF$26</f>
        <v>4.4217775587589783</v>
      </c>
      <c r="D11" s="13">
        <f>'Section Calcs'!$AF$29</f>
        <v>3.3834969256674712</v>
      </c>
    </row>
    <row r="12" spans="1:4" x14ac:dyDescent="0.25">
      <c r="A12" t="s">
        <v>381</v>
      </c>
      <c r="B12">
        <f>Inputs!$B$3/20*'Section Calcs'!$A$27</f>
        <v>126.49353816142406</v>
      </c>
      <c r="C12" s="13">
        <f>'Section Calcs'!$AG$26</f>
        <v>4.5077138457554558</v>
      </c>
      <c r="D12" s="13">
        <f>'Section Calcs'!$AG$29</f>
        <v>3.8242853575349827</v>
      </c>
    </row>
    <row r="13" spans="1:4" x14ac:dyDescent="0.25">
      <c r="A13" t="s">
        <v>381</v>
      </c>
      <c r="B13">
        <f>Inputs!$B$3/20*'Section Calcs'!$A$27</f>
        <v>126.49353816142406</v>
      </c>
      <c r="C13" s="13">
        <f>'Section Calcs'!$AH$26</f>
        <v>4.5936501327519323</v>
      </c>
      <c r="D13" s="13">
        <f>'Section Calcs'!$AH$29</f>
        <v>4.1129504583352805</v>
      </c>
    </row>
    <row r="14" spans="1:4" x14ac:dyDescent="0.25">
      <c r="A14" t="s">
        <v>381</v>
      </c>
      <c r="B14">
        <f>Inputs!$B$3/20*'Section Calcs'!$A$27</f>
        <v>126.49353816142406</v>
      </c>
      <c r="C14" s="13">
        <f>'Section Calcs'!$AI$26</f>
        <v>4.6795864197484098</v>
      </c>
      <c r="D14" s="13">
        <f>'Section Calcs'!$AI$29</f>
        <v>4.2632934403107807</v>
      </c>
    </row>
    <row r="15" spans="1:4" x14ac:dyDescent="0.25">
      <c r="A15" t="s">
        <v>381</v>
      </c>
      <c r="B15">
        <f>Inputs!$B$3/20*'Section Calcs'!$A$27</f>
        <v>126.49353816142406</v>
      </c>
      <c r="C15" s="13">
        <f>'Section Calcs'!$AJ$26</f>
        <v>4.7655227067448864</v>
      </c>
      <c r="D15" s="13">
        <f>'Section Calcs'!$AJ$29</f>
        <v>4.3117631961061811</v>
      </c>
    </row>
    <row r="16" spans="1:4" x14ac:dyDescent="0.25">
      <c r="A16" t="s">
        <v>381</v>
      </c>
      <c r="B16">
        <f>Inputs!$B$3/20*'Section Calcs'!$A$27</f>
        <v>126.49353816142406</v>
      </c>
      <c r="C16" s="13">
        <f>'Section Calcs'!$AK$26</f>
        <v>4.8514589937413639</v>
      </c>
      <c r="D16" s="13">
        <f>'Section Calcs'!$AK$29</f>
        <v>4.3174562987685938</v>
      </c>
    </row>
    <row r="17" spans="1:4" x14ac:dyDescent="0.25">
      <c r="A17" t="s">
        <v>381</v>
      </c>
      <c r="B17">
        <f>Inputs!$B$3/20*'Section Calcs'!$A$27</f>
        <v>126.49353816142406</v>
      </c>
      <c r="C17" s="13">
        <f>'Section Calcs'!$AL$26</f>
        <v>6.0019944988356464</v>
      </c>
      <c r="D17" s="13">
        <f>'Section Calcs'!$AL$29</f>
        <v>4.4193017708410149</v>
      </c>
    </row>
    <row r="18" spans="1:4" x14ac:dyDescent="0.25">
      <c r="A18" t="s">
        <v>381</v>
      </c>
      <c r="B18">
        <f>Inputs!$B$3/20*'Section Calcs'!$A$27</f>
        <v>126.49353816142406</v>
      </c>
      <c r="C18" s="13">
        <f>'Section Calcs'!$AM$26</f>
        <v>7.1525300039299289</v>
      </c>
      <c r="D18" s="13">
        <f>'Section Calcs'!$AM$29</f>
        <v>4.4660287061590669</v>
      </c>
    </row>
    <row r="19" spans="1:4" x14ac:dyDescent="0.25">
      <c r="A19" t="s">
        <v>381</v>
      </c>
      <c r="B19">
        <f>Inputs!$B$3/20*'Section Calcs'!$A$27</f>
        <v>126.49353816142406</v>
      </c>
      <c r="C19" s="13">
        <f>'Section Calcs'!$AN$26</f>
        <v>8.3030655090242114</v>
      </c>
      <c r="D19" s="13">
        <f>'Section Calcs'!$AN$29</f>
        <v>4.4576371047227505</v>
      </c>
    </row>
    <row r="20" spans="1:4" x14ac:dyDescent="0.25">
      <c r="A20" t="s">
        <v>381</v>
      </c>
      <c r="B20">
        <f>Inputs!$B$3/20*'Section Calcs'!$A$27</f>
        <v>126.49353816142406</v>
      </c>
      <c r="C20" s="13">
        <f>'Section Calcs'!$AO$26</f>
        <v>9.4536010141184939</v>
      </c>
      <c r="D20" s="13">
        <f>'Section Calcs'!$AO$29</f>
        <v>4.394126966532065</v>
      </c>
    </row>
    <row r="21" spans="1:4" x14ac:dyDescent="0.25">
      <c r="A21" t="s">
        <v>381</v>
      </c>
      <c r="B21">
        <f>Inputs!$B$3/20*'Section Calcs'!$A$33</f>
        <v>120.16886125335284</v>
      </c>
      <c r="C21" s="13">
        <f>'Section Calcs'!$V$32</f>
        <v>3.2501121381991185</v>
      </c>
      <c r="D21" s="13">
        <f>'Section Calcs'!$V$35</f>
        <v>0</v>
      </c>
    </row>
    <row r="22" spans="1:4" x14ac:dyDescent="0.25">
      <c r="A22" t="s">
        <v>381</v>
      </c>
      <c r="B22">
        <f>Inputs!$B$3/20*'Section Calcs'!$A$33</f>
        <v>120.16886125335284</v>
      </c>
      <c r="C22" s="13">
        <f>'Section Calcs'!$W$32</f>
        <v>3.266125606754541</v>
      </c>
      <c r="D22" s="13">
        <f>'Section Calcs'!$W$35</f>
        <v>4.8388364445049466E-2</v>
      </c>
    </row>
    <row r="23" spans="1:4" x14ac:dyDescent="0.25">
      <c r="A23" t="s">
        <v>381</v>
      </c>
      <c r="B23">
        <f>Inputs!$B$3/20*'Section Calcs'!$A$33</f>
        <v>120.16886125335284</v>
      </c>
      <c r="C23" s="13">
        <f>'Section Calcs'!$X$32</f>
        <v>3.298152543865386</v>
      </c>
      <c r="D23" s="13">
        <f>'Section Calcs'!$X$35</f>
        <v>0.15447795553391994</v>
      </c>
    </row>
    <row r="24" spans="1:4" x14ac:dyDescent="0.25">
      <c r="A24" t="s">
        <v>381</v>
      </c>
      <c r="B24">
        <f>Inputs!$B$3/20*'Section Calcs'!$A$33</f>
        <v>120.16886125335284</v>
      </c>
      <c r="C24" s="13">
        <f>'Section Calcs'!$Y$32</f>
        <v>3.3301794809762306</v>
      </c>
      <c r="D24" s="13">
        <f>'Section Calcs'!$Y$35</f>
        <v>0.27188146294275328</v>
      </c>
    </row>
    <row r="25" spans="1:4" x14ac:dyDescent="0.25">
      <c r="A25" t="s">
        <v>381</v>
      </c>
      <c r="B25">
        <f>Inputs!$B$3/20*'Section Calcs'!$A$33</f>
        <v>120.16886125335284</v>
      </c>
      <c r="C25" s="13">
        <f>'Section Calcs'!$Z$32</f>
        <v>3.3622064180870757</v>
      </c>
      <c r="D25" s="13">
        <f>'Section Calcs'!$Z$35</f>
        <v>0.39931563862409036</v>
      </c>
    </row>
    <row r="26" spans="1:4" x14ac:dyDescent="0.25">
      <c r="A26" t="s">
        <v>381</v>
      </c>
      <c r="B26">
        <f>Inputs!$B$3/20*'Section Calcs'!$A$33</f>
        <v>120.16886125335284</v>
      </c>
      <c r="C26" s="13">
        <f>'Section Calcs'!$AA$32</f>
        <v>3.4102468237533432</v>
      </c>
      <c r="D26" s="13">
        <f>'Section Calcs'!$AA$35</f>
        <v>0.60658157723434158</v>
      </c>
    </row>
    <row r="27" spans="1:4" x14ac:dyDescent="0.25">
      <c r="A27" t="s">
        <v>381</v>
      </c>
      <c r="B27">
        <f>Inputs!$B$3/20*'Section Calcs'!$A$33</f>
        <v>120.16886125335284</v>
      </c>
      <c r="C27" s="13">
        <f>'Section Calcs'!$AB$32</f>
        <v>3.4903141665304553</v>
      </c>
      <c r="D27" s="13">
        <f>'Section Calcs'!$AB$35</f>
        <v>0.98531933859008525</v>
      </c>
    </row>
    <row r="28" spans="1:4" x14ac:dyDescent="0.25">
      <c r="A28" t="s">
        <v>381</v>
      </c>
      <c r="B28">
        <f>Inputs!$B$3/20*'Section Calcs'!$A$33</f>
        <v>120.16886125335284</v>
      </c>
      <c r="C28" s="13">
        <f>'Section Calcs'!$AC$32</f>
        <v>3.5703815093075675</v>
      </c>
      <c r="D28" s="13">
        <f>'Section Calcs'!$AC$35</f>
        <v>1.3911276662351226</v>
      </c>
    </row>
    <row r="29" spans="1:4" x14ac:dyDescent="0.25">
      <c r="A29" t="s">
        <v>381</v>
      </c>
      <c r="B29">
        <f>Inputs!$B$3/20*'Section Calcs'!$A$33</f>
        <v>120.16886125335284</v>
      </c>
      <c r="C29" s="13">
        <f>'Section Calcs'!$AD$32</f>
        <v>3.7305161948617922</v>
      </c>
      <c r="D29" s="13">
        <f>'Section Calcs'!$AD$35</f>
        <v>2.2251573148426997</v>
      </c>
    </row>
    <row r="30" spans="1:4" x14ac:dyDescent="0.25">
      <c r="A30" t="s">
        <v>381</v>
      </c>
      <c r="B30">
        <f>Inputs!$B$3/20*'Section Calcs'!$A$33</f>
        <v>120.16886125335284</v>
      </c>
      <c r="C30" s="13">
        <f>'Section Calcs'!$AE$32</f>
        <v>3.8906508804160165</v>
      </c>
      <c r="D30" s="13">
        <f>'Section Calcs'!$AE$35</f>
        <v>3.0092123470544858</v>
      </c>
    </row>
    <row r="31" spans="1:4" x14ac:dyDescent="0.25">
      <c r="A31" t="s">
        <v>381</v>
      </c>
      <c r="B31">
        <f>Inputs!$B$3/20*'Section Calcs'!$A$33</f>
        <v>120.16886125335284</v>
      </c>
      <c r="C31" s="13">
        <f>'Section Calcs'!$AF$32</f>
        <v>4.0507855659702408</v>
      </c>
      <c r="D31" s="13">
        <f>'Section Calcs'!$AF$35</f>
        <v>3.6728573630249404</v>
      </c>
    </row>
    <row r="32" spans="1:4" x14ac:dyDescent="0.25">
      <c r="A32" t="s">
        <v>381</v>
      </c>
      <c r="B32">
        <f>Inputs!$B$3/20*'Section Calcs'!$A$33</f>
        <v>120.16886125335284</v>
      </c>
      <c r="C32" s="13">
        <f>'Section Calcs'!$AG$32</f>
        <v>4.2109202515244659</v>
      </c>
      <c r="D32" s="13">
        <f>'Section Calcs'!$AG$35</f>
        <v>4.1746797390655823</v>
      </c>
    </row>
    <row r="33" spans="1:4" x14ac:dyDescent="0.25">
      <c r="A33" t="s">
        <v>381</v>
      </c>
      <c r="B33">
        <f>Inputs!$B$3/20*'Section Calcs'!$A$33</f>
        <v>120.16886125335284</v>
      </c>
      <c r="C33" s="13">
        <f>'Section Calcs'!$AH$32</f>
        <v>4.3710549370786902</v>
      </c>
      <c r="D33" s="13">
        <f>'Section Calcs'!$AH$35</f>
        <v>4.5022896276449833</v>
      </c>
    </row>
    <row r="34" spans="1:4" x14ac:dyDescent="0.25">
      <c r="A34" t="s">
        <v>381</v>
      </c>
      <c r="B34">
        <f>Inputs!$B$3/20*'Section Calcs'!$A$33</f>
        <v>120.16886125335284</v>
      </c>
      <c r="C34" s="13">
        <f>'Section Calcs'!$AI$32</f>
        <v>4.5311896226329145</v>
      </c>
      <c r="D34" s="13">
        <f>'Section Calcs'!$AI$35</f>
        <v>4.672319957388769</v>
      </c>
    </row>
    <row r="35" spans="1:4" x14ac:dyDescent="0.25">
      <c r="A35" t="s">
        <v>381</v>
      </c>
      <c r="B35">
        <f>Inputs!$B$3/20*'Section Calcs'!$A$33</f>
        <v>120.16886125335284</v>
      </c>
      <c r="C35" s="13">
        <f>'Section Calcs'!$AJ$32</f>
        <v>4.6913243081871396</v>
      </c>
      <c r="D35" s="13">
        <f>'Section Calcs'!$AJ$35</f>
        <v>4.7304264330795851</v>
      </c>
    </row>
    <row r="36" spans="1:4" x14ac:dyDescent="0.25">
      <c r="A36" t="s">
        <v>381</v>
      </c>
      <c r="B36">
        <f>Inputs!$B$3/20*'Section Calcs'!$A$33</f>
        <v>120.16886125335284</v>
      </c>
      <c r="C36" s="13">
        <f>'Section Calcs'!$AK$32</f>
        <v>4.8514589937413639</v>
      </c>
      <c r="D36" s="13">
        <f>'Section Calcs'!$AK$35</f>
        <v>4.7512875356572248</v>
      </c>
    </row>
    <row r="37" spans="1:4" x14ac:dyDescent="0.25">
      <c r="A37" t="s">
        <v>381</v>
      </c>
      <c r="B37">
        <f>Inputs!$B$3/20*'Section Calcs'!$A$33</f>
        <v>120.16886125335284</v>
      </c>
      <c r="C37" s="13">
        <f>'Section Calcs'!$AL$32</f>
        <v>5.9896851881849322</v>
      </c>
      <c r="D37" s="13">
        <f>'Section Calcs'!$AL$35</f>
        <v>4.9467879594941753</v>
      </c>
    </row>
    <row r="38" spans="1:4" x14ac:dyDescent="0.25">
      <c r="A38" t="s">
        <v>381</v>
      </c>
      <c r="B38">
        <f>Inputs!$B$3/20*'Section Calcs'!$A$33</f>
        <v>120.16886125335284</v>
      </c>
      <c r="C38" s="13">
        <f>'Section Calcs'!$AM$32</f>
        <v>7.1279113826284997</v>
      </c>
      <c r="D38" s="13">
        <f>'Section Calcs'!$AM$35</f>
        <v>5.044449322894426</v>
      </c>
    </row>
    <row r="39" spans="1:4" x14ac:dyDescent="0.25">
      <c r="A39" t="s">
        <v>381</v>
      </c>
      <c r="B39">
        <f>Inputs!$B$3/20*'Section Calcs'!$A$33</f>
        <v>120.16886125335284</v>
      </c>
      <c r="C39" s="13">
        <f>'Section Calcs'!$AN$32</f>
        <v>8.2661375770720671</v>
      </c>
      <c r="D39" s="13">
        <f>'Section Calcs'!$AN$35</f>
        <v>5.0442716258579754</v>
      </c>
    </row>
    <row r="40" spans="1:4" x14ac:dyDescent="0.25">
      <c r="A40" t="s">
        <v>381</v>
      </c>
      <c r="B40">
        <f>Inputs!$B$3/20*'Section Calcs'!$A$33</f>
        <v>120.16886125335284</v>
      </c>
      <c r="C40" s="13">
        <f>'Section Calcs'!$AO$32</f>
        <v>9.4043637715156354</v>
      </c>
      <c r="D40" s="13">
        <f>'Section Calcs'!$AO$35</f>
        <v>4.9462548683848251</v>
      </c>
    </row>
    <row r="41" spans="1:4" x14ac:dyDescent="0.25">
      <c r="A41" t="s">
        <v>381</v>
      </c>
      <c r="B41">
        <f>Inputs!$B$3/20*'Section Calcs'!$A$39</f>
        <v>113.84418434528165</v>
      </c>
      <c r="C41" s="13">
        <f>'Section Calcs'!$V$38</f>
        <v>2.5220602308173645</v>
      </c>
      <c r="D41" s="13">
        <f>'Section Calcs'!$V$41</f>
        <v>0</v>
      </c>
    </row>
    <row r="42" spans="1:4" x14ac:dyDescent="0.25">
      <c r="A42" t="s">
        <v>381</v>
      </c>
      <c r="B42">
        <f>Inputs!$B$3/20*'Section Calcs'!$A$39</f>
        <v>113.84418434528165</v>
      </c>
      <c r="C42" s="13">
        <f>'Section Calcs'!$W$38</f>
        <v>2.5453542184466045</v>
      </c>
      <c r="D42" s="13">
        <f>'Section Calcs'!$W$41</f>
        <v>7.0158490027806206E-2</v>
      </c>
    </row>
    <row r="43" spans="1:4" x14ac:dyDescent="0.25">
      <c r="A43" t="s">
        <v>381</v>
      </c>
      <c r="B43">
        <f>Inputs!$B$3/20*'Section Calcs'!$A$39</f>
        <v>113.84418434528165</v>
      </c>
      <c r="C43" s="13">
        <f>'Section Calcs'!$X$38</f>
        <v>2.5919421937050844</v>
      </c>
      <c r="D43" s="13">
        <f>'Section Calcs'!$X$41</f>
        <v>0.21745205342341509</v>
      </c>
    </row>
    <row r="44" spans="1:4" x14ac:dyDescent="0.25">
      <c r="A44" t="s">
        <v>381</v>
      </c>
      <c r="B44">
        <f>Inputs!$B$3/20*'Section Calcs'!$A$39</f>
        <v>113.84418434528165</v>
      </c>
      <c r="C44" s="13">
        <f>'Section Calcs'!$Y$38</f>
        <v>2.6385301689635643</v>
      </c>
      <c r="D44" s="13">
        <f>'Section Calcs'!$Y$41</f>
        <v>0.37305788242557142</v>
      </c>
    </row>
    <row r="45" spans="1:4" x14ac:dyDescent="0.25">
      <c r="A45" t="s">
        <v>381</v>
      </c>
      <c r="B45">
        <f>Inputs!$B$3/20*'Section Calcs'!$A$39</f>
        <v>113.84418434528165</v>
      </c>
      <c r="C45" s="13">
        <f>'Section Calcs'!$Z$38</f>
        <v>2.6851181442220446</v>
      </c>
      <c r="D45" s="13">
        <f>'Section Calcs'!$Z$41</f>
        <v>0.5358264788287801</v>
      </c>
    </row>
    <row r="46" spans="1:4" x14ac:dyDescent="0.25">
      <c r="A46" t="s">
        <v>381</v>
      </c>
      <c r="B46">
        <f>Inputs!$B$3/20*'Section Calcs'!$A$39</f>
        <v>113.84418434528165</v>
      </c>
      <c r="C46" s="13">
        <f>'Section Calcs'!$AA$38</f>
        <v>2.7550001071097645</v>
      </c>
      <c r="D46" s="13">
        <f>'Section Calcs'!$AA$41</f>
        <v>0.79100279989097455</v>
      </c>
    </row>
    <row r="47" spans="1:4" x14ac:dyDescent="0.25">
      <c r="A47" t="s">
        <v>381</v>
      </c>
      <c r="B47">
        <f>Inputs!$B$3/20*'Section Calcs'!$A$39</f>
        <v>113.84418434528165</v>
      </c>
      <c r="C47" s="13">
        <f>'Section Calcs'!$AB$38</f>
        <v>2.8714700452559643</v>
      </c>
      <c r="D47" s="13">
        <f>'Section Calcs'!$AB$41</f>
        <v>1.2370712307679004</v>
      </c>
    </row>
    <row r="48" spans="1:4" x14ac:dyDescent="0.25">
      <c r="A48" t="s">
        <v>381</v>
      </c>
      <c r="B48">
        <f>Inputs!$B$3/20*'Section Calcs'!$A$39</f>
        <v>113.84418434528165</v>
      </c>
      <c r="C48" s="13">
        <f>'Section Calcs'!$AC$38</f>
        <v>2.9879399834021645</v>
      </c>
      <c r="D48" s="13">
        <f>'Section Calcs'!$AC$41</f>
        <v>1.6962102074745526</v>
      </c>
    </row>
    <row r="49" spans="1:4" x14ac:dyDescent="0.25">
      <c r="A49" t="s">
        <v>381</v>
      </c>
      <c r="B49">
        <f>Inputs!$B$3/20*'Section Calcs'!$A$39</f>
        <v>113.84418434528165</v>
      </c>
      <c r="C49" s="13">
        <f>'Section Calcs'!$AD$38</f>
        <v>3.2208798596945645</v>
      </c>
      <c r="D49" s="13">
        <f>'Section Calcs'!$AD$41</f>
        <v>2.6020406982823925</v>
      </c>
    </row>
    <row r="50" spans="1:4" x14ac:dyDescent="0.25">
      <c r="A50" t="s">
        <v>381</v>
      </c>
      <c r="B50">
        <f>Inputs!$B$3/20*'Section Calcs'!$A$39</f>
        <v>113.84418434528165</v>
      </c>
      <c r="C50" s="13">
        <f>'Section Calcs'!$AE$38</f>
        <v>3.4538197359869645</v>
      </c>
      <c r="D50" s="13">
        <f>'Section Calcs'!$AE$41</f>
        <v>3.422281612590325</v>
      </c>
    </row>
    <row r="51" spans="1:4" x14ac:dyDescent="0.25">
      <c r="A51" t="s">
        <v>381</v>
      </c>
      <c r="B51">
        <f>Inputs!$B$3/20*'Section Calcs'!$A$39</f>
        <v>113.84418434528165</v>
      </c>
      <c r="C51" s="13">
        <f>'Section Calcs'!$AF$38</f>
        <v>3.6867596122793644</v>
      </c>
      <c r="D51" s="13">
        <f>'Section Calcs'!$AF$41</f>
        <v>4.0980891554183438</v>
      </c>
    </row>
    <row r="52" spans="1:4" x14ac:dyDescent="0.25">
      <c r="A52" t="s">
        <v>381</v>
      </c>
      <c r="B52">
        <f>Inputs!$B$3/20*'Section Calcs'!$A$39</f>
        <v>113.84418434528165</v>
      </c>
      <c r="C52" s="13">
        <f>'Section Calcs'!$AG$38</f>
        <v>3.919699488571764</v>
      </c>
      <c r="D52" s="13">
        <f>'Section Calcs'!$AG$41</f>
        <v>4.5979883965306128</v>
      </c>
    </row>
    <row r="53" spans="1:4" x14ac:dyDescent="0.25">
      <c r="A53" t="s">
        <v>381</v>
      </c>
      <c r="B53">
        <f>Inputs!$B$3/20*'Section Calcs'!$A$39</f>
        <v>113.84418434528165</v>
      </c>
      <c r="C53" s="13">
        <f>'Section Calcs'!$AH$38</f>
        <v>4.1526393648641644</v>
      </c>
      <c r="D53" s="13">
        <f>'Section Calcs'!$AH$41</f>
        <v>4.9178732704354671</v>
      </c>
    </row>
    <row r="54" spans="1:4" x14ac:dyDescent="0.25">
      <c r="A54" t="s">
        <v>381</v>
      </c>
      <c r="B54">
        <f>Inputs!$B$3/20*'Section Calcs'!$A$39</f>
        <v>113.84418434528165</v>
      </c>
      <c r="C54" s="13">
        <f>'Section Calcs'!$AI$38</f>
        <v>4.3855792411565639</v>
      </c>
      <c r="D54" s="13">
        <f>'Section Calcs'!$AI$41</f>
        <v>5.0810065763854126</v>
      </c>
    </row>
    <row r="55" spans="1:4" x14ac:dyDescent="0.25">
      <c r="A55" t="s">
        <v>381</v>
      </c>
      <c r="B55">
        <f>Inputs!$B$3/20*'Section Calcs'!$A$39</f>
        <v>113.84418434528165</v>
      </c>
      <c r="C55" s="13">
        <f>'Section Calcs'!$AJ$38</f>
        <v>4.6185191174489635</v>
      </c>
      <c r="D55" s="13">
        <f>'Section Calcs'!$AJ$41</f>
        <v>5.1380199783770877</v>
      </c>
    </row>
    <row r="56" spans="1:4" x14ac:dyDescent="0.25">
      <c r="A56" t="s">
        <v>381</v>
      </c>
      <c r="B56">
        <f>Inputs!$B$3/20*'Section Calcs'!$A$39</f>
        <v>113.84418434528165</v>
      </c>
      <c r="C56" s="13">
        <f>'Section Calcs'!$AK$38</f>
        <v>4.8514589937413639</v>
      </c>
      <c r="D56" s="13">
        <f>'Section Calcs'!$AK$41</f>
        <v>5.1669140051513978</v>
      </c>
    </row>
    <row r="57" spans="1:4" x14ac:dyDescent="0.25">
      <c r="A57" t="s">
        <v>381</v>
      </c>
      <c r="B57">
        <f>Inputs!$B$3/20*'Section Calcs'!$A$39</f>
        <v>113.84418434528165</v>
      </c>
      <c r="C57" s="13">
        <f>'Section Calcs'!$AL$38</f>
        <v>5.9773759150470989</v>
      </c>
      <c r="D57" s="13">
        <f>'Section Calcs'!$AL$41</f>
        <v>5.3591453077745523</v>
      </c>
    </row>
    <row r="58" spans="1:4" x14ac:dyDescent="0.25">
      <c r="A58" t="s">
        <v>381</v>
      </c>
      <c r="B58">
        <f>Inputs!$B$3/20*'Section Calcs'!$A$39</f>
        <v>113.84418434528165</v>
      </c>
      <c r="C58" s="13">
        <f>'Section Calcs'!$AM$38</f>
        <v>7.1032928363528338</v>
      </c>
      <c r="D58" s="13">
        <f>'Section Calcs'!$AM$41</f>
        <v>5.474947420612696</v>
      </c>
    </row>
    <row r="59" spans="1:4" x14ac:dyDescent="0.25">
      <c r="A59" t="s">
        <v>381</v>
      </c>
      <c r="B59">
        <f>Inputs!$B$3/20*'Section Calcs'!$A$39</f>
        <v>113.84418434528165</v>
      </c>
      <c r="C59" s="13">
        <f>'Section Calcs'!$AN$38</f>
        <v>8.2292097576585697</v>
      </c>
      <c r="D59" s="13">
        <f>'Section Calcs'!$AN$41</f>
        <v>5.5143203436658315</v>
      </c>
    </row>
    <row r="60" spans="1:4" x14ac:dyDescent="0.25">
      <c r="A60" t="s">
        <v>381</v>
      </c>
      <c r="B60">
        <f>Inputs!$B$3/20*'Section Calcs'!$A$39</f>
        <v>113.84418434528165</v>
      </c>
      <c r="C60" s="13">
        <f>'Section Calcs'!$AO$38</f>
        <v>9.3551266789643037</v>
      </c>
      <c r="D60" s="13">
        <f>'Section Calcs'!$AO$41</f>
        <v>5.4772640769339551</v>
      </c>
    </row>
    <row r="61" spans="1:4" x14ac:dyDescent="0.25">
      <c r="A61" t="s">
        <v>381</v>
      </c>
      <c r="B61">
        <f>Inputs!$B$3/20*'Section Calcs'!$A$45</f>
        <v>107.51950743721044</v>
      </c>
      <c r="C61" s="13">
        <f>'Section Calcs'!$V$44</f>
        <v>1.822392570788296</v>
      </c>
      <c r="D61" s="13">
        <f>'Section Calcs'!$V$47</f>
        <v>0</v>
      </c>
    </row>
    <row r="62" spans="1:4" x14ac:dyDescent="0.25">
      <c r="A62" t="s">
        <v>381</v>
      </c>
      <c r="B62">
        <f>Inputs!$B$3/20*'Section Calcs'!$A$45</f>
        <v>107.51950743721044</v>
      </c>
      <c r="C62" s="13">
        <f>'Section Calcs'!$W$44</f>
        <v>1.8526832350178266</v>
      </c>
      <c r="D62" s="13">
        <f>'Section Calcs'!$W$47</f>
        <v>8.804020579233697E-2</v>
      </c>
    </row>
    <row r="63" spans="1:4" x14ac:dyDescent="0.25">
      <c r="A63" t="s">
        <v>381</v>
      </c>
      <c r="B63">
        <f>Inputs!$B$3/20*'Section Calcs'!$A$45</f>
        <v>107.51950743721044</v>
      </c>
      <c r="C63" s="13">
        <f>'Section Calcs'!$X$44</f>
        <v>1.9132645634768881</v>
      </c>
      <c r="D63" s="13">
        <f>'Section Calcs'!$X$47</f>
        <v>0.26923778478322219</v>
      </c>
    </row>
    <row r="64" spans="1:4" x14ac:dyDescent="0.25">
      <c r="A64" t="s">
        <v>381</v>
      </c>
      <c r="B64">
        <f>Inputs!$B$3/20*'Section Calcs'!$A$45</f>
        <v>107.51950743721044</v>
      </c>
      <c r="C64" s="13">
        <f>'Section Calcs'!$Y$44</f>
        <v>1.9738458919359494</v>
      </c>
      <c r="D64" s="13">
        <f>'Section Calcs'!$Y$47</f>
        <v>0.45637151278810661</v>
      </c>
    </row>
    <row r="65" spans="1:4" x14ac:dyDescent="0.25">
      <c r="A65" t="s">
        <v>381</v>
      </c>
      <c r="B65">
        <f>Inputs!$B$3/20*'Section Calcs'!$A$45</f>
        <v>107.51950743721044</v>
      </c>
      <c r="C65" s="13">
        <f>'Section Calcs'!$Z$44</f>
        <v>2.0344272203950107</v>
      </c>
      <c r="D65" s="13">
        <f>'Section Calcs'!$Z$47</f>
        <v>0.64841270590986111</v>
      </c>
    </row>
    <row r="66" spans="1:4" x14ac:dyDescent="0.25">
      <c r="A66" t="s">
        <v>381</v>
      </c>
      <c r="B66">
        <f>Inputs!$B$3/20*'Section Calcs'!$A$45</f>
        <v>107.51950743721044</v>
      </c>
      <c r="C66" s="13">
        <f>'Section Calcs'!$AA$44</f>
        <v>2.1252992130836028</v>
      </c>
      <c r="D66" s="13">
        <f>'Section Calcs'!$AA$47</f>
        <v>0.94352532360668073</v>
      </c>
    </row>
    <row r="67" spans="1:4" x14ac:dyDescent="0.25">
      <c r="A67" t="s">
        <v>381</v>
      </c>
      <c r="B67">
        <f>Inputs!$B$3/20*'Section Calcs'!$A$45</f>
        <v>107.51950743721044</v>
      </c>
      <c r="C67" s="13">
        <f>'Section Calcs'!$AB$44</f>
        <v>2.2767525342312562</v>
      </c>
      <c r="D67" s="13">
        <f>'Section Calcs'!$AB$47</f>
        <v>1.4464946570633774</v>
      </c>
    </row>
    <row r="68" spans="1:4" x14ac:dyDescent="0.25">
      <c r="A68" t="s">
        <v>381</v>
      </c>
      <c r="B68">
        <f>Inputs!$B$3/20*'Section Calcs'!$A$45</f>
        <v>107.51950743721044</v>
      </c>
      <c r="C68" s="13">
        <f>'Section Calcs'!$AC$44</f>
        <v>2.4282058553789096</v>
      </c>
      <c r="D68" s="13">
        <f>'Section Calcs'!$AC$47</f>
        <v>1.9518933241948586</v>
      </c>
    </row>
    <row r="69" spans="1:4" x14ac:dyDescent="0.25">
      <c r="A69" t="s">
        <v>381</v>
      </c>
      <c r="B69">
        <f>Inputs!$B$3/20*'Section Calcs'!$A$45</f>
        <v>107.51950743721044</v>
      </c>
      <c r="C69" s="13">
        <f>'Section Calcs'!$AD$44</f>
        <v>2.731112497674216</v>
      </c>
      <c r="D69" s="13">
        <f>'Section Calcs'!$AD$47</f>
        <v>2.9243368357738184</v>
      </c>
    </row>
    <row r="70" spans="1:4" x14ac:dyDescent="0.25">
      <c r="A70" t="s">
        <v>381</v>
      </c>
      <c r="B70">
        <f>Inputs!$B$3/20*'Section Calcs'!$A$45</f>
        <v>107.51950743721044</v>
      </c>
      <c r="C70" s="13">
        <f>'Section Calcs'!$AE$44</f>
        <v>3.0340191399695233</v>
      </c>
      <c r="D70" s="13">
        <f>'Section Calcs'!$AE$47</f>
        <v>3.7853780752168924</v>
      </c>
    </row>
    <row r="71" spans="1:4" x14ac:dyDescent="0.25">
      <c r="A71" t="s">
        <v>381</v>
      </c>
      <c r="B71">
        <f>Inputs!$B$3/20*'Section Calcs'!$A$45</f>
        <v>107.51950743721044</v>
      </c>
      <c r="C71" s="13">
        <f>'Section Calcs'!$AF$44</f>
        <v>3.3369257822648297</v>
      </c>
      <c r="D71" s="13">
        <f>'Section Calcs'!$AF$47</f>
        <v>4.4848286422614541</v>
      </c>
    </row>
    <row r="72" spans="1:4" x14ac:dyDescent="0.25">
      <c r="A72" t="s">
        <v>381</v>
      </c>
      <c r="B72">
        <f>Inputs!$B$3/20*'Section Calcs'!$A$45</f>
        <v>107.51950743721044</v>
      </c>
      <c r="C72" s="13">
        <f>'Section Calcs'!$AG$44</f>
        <v>3.6398324245601366</v>
      </c>
      <c r="D72" s="13">
        <f>'Section Calcs'!$AG$47</f>
        <v>4.9977895195089221</v>
      </c>
    </row>
    <row r="73" spans="1:4" x14ac:dyDescent="0.25">
      <c r="A73" t="s">
        <v>381</v>
      </c>
      <c r="B73">
        <f>Inputs!$B$3/20*'Section Calcs'!$A$45</f>
        <v>107.51950743721044</v>
      </c>
      <c r="C73" s="13">
        <f>'Section Calcs'!$AH$44</f>
        <v>3.9427390668554434</v>
      </c>
      <c r="D73" s="13">
        <f>'Section Calcs'!$AH$47</f>
        <v>5.3246510724247642</v>
      </c>
    </row>
    <row r="74" spans="1:4" x14ac:dyDescent="0.25">
      <c r="A74" t="s">
        <v>381</v>
      </c>
      <c r="B74">
        <f>Inputs!$B$3/20*'Section Calcs'!$A$45</f>
        <v>107.51950743721044</v>
      </c>
      <c r="C74" s="13">
        <f>'Section Calcs'!$AI$44</f>
        <v>4.2456457091507502</v>
      </c>
      <c r="D74" s="13">
        <f>'Section Calcs'!$AI$47</f>
        <v>5.4910930493384935</v>
      </c>
    </row>
    <row r="75" spans="1:4" x14ac:dyDescent="0.25">
      <c r="A75" t="s">
        <v>381</v>
      </c>
      <c r="B75">
        <f>Inputs!$B$3/20*'Section Calcs'!$A$45</f>
        <v>107.51950743721044</v>
      </c>
      <c r="C75" s="13">
        <f>'Section Calcs'!$AJ$44</f>
        <v>4.5485523514460571</v>
      </c>
      <c r="D75" s="13">
        <f>'Section Calcs'!$AJ$47</f>
        <v>5.5480845814436295</v>
      </c>
    </row>
    <row r="76" spans="1:4" x14ac:dyDescent="0.25">
      <c r="A76" t="s">
        <v>381</v>
      </c>
      <c r="B76">
        <f>Inputs!$B$3/20*'Section Calcs'!$A$45</f>
        <v>107.51950743721044</v>
      </c>
      <c r="C76" s="13">
        <f>'Section Calcs'!$AK$44</f>
        <v>4.8514589937413639</v>
      </c>
      <c r="D76" s="13">
        <f>'Section Calcs'!$AK$47</f>
        <v>5.5718841827978496</v>
      </c>
    </row>
    <row r="77" spans="1:4" x14ac:dyDescent="0.25">
      <c r="A77" t="s">
        <v>381</v>
      </c>
      <c r="B77">
        <f>Inputs!$B$3/20*'Section Calcs'!$A$45</f>
        <v>107.51950743721044</v>
      </c>
      <c r="C77" s="13">
        <f>'Section Calcs'!$AL$44</f>
        <v>5.9650665258665985</v>
      </c>
      <c r="D77" s="13">
        <f>'Section Calcs'!$AL$47</f>
        <v>5.7030009954231096</v>
      </c>
    </row>
    <row r="78" spans="1:4" x14ac:dyDescent="0.25">
      <c r="A78" t="s">
        <v>381</v>
      </c>
      <c r="B78">
        <f>Inputs!$B$3/20*'Section Calcs'!$A$45</f>
        <v>107.51950743721044</v>
      </c>
      <c r="C78" s="13">
        <f>'Section Calcs'!$AM$44</f>
        <v>7.078674057991833</v>
      </c>
      <c r="D78" s="13">
        <f>'Section Calcs'!$AM$47</f>
        <v>5.8099926618499156</v>
      </c>
    </row>
    <row r="79" spans="1:4" x14ac:dyDescent="0.25">
      <c r="A79" t="s">
        <v>381</v>
      </c>
      <c r="B79">
        <f>Inputs!$B$3/20*'Section Calcs'!$A$45</f>
        <v>107.51950743721044</v>
      </c>
      <c r="C79" s="13">
        <f>'Section Calcs'!$AN$44</f>
        <v>8.1922815901170676</v>
      </c>
      <c r="D79" s="13">
        <f>'Section Calcs'!$AN$47</f>
        <v>5.8928591820782641</v>
      </c>
    </row>
    <row r="80" spans="1:4" x14ac:dyDescent="0.25">
      <c r="A80" t="s">
        <v>381</v>
      </c>
      <c r="B80">
        <f>Inputs!$B$3/20*'Section Calcs'!$A$45</f>
        <v>107.51950743721044</v>
      </c>
      <c r="C80" s="13">
        <f>'Section Calcs'!$AO$44</f>
        <v>9.3058891222423021</v>
      </c>
      <c r="D80" s="13">
        <f>'Section Calcs'!$AO$47</f>
        <v>5.9516005561081613</v>
      </c>
    </row>
    <row r="81" spans="1:4" x14ac:dyDescent="0.25">
      <c r="A81" t="s">
        <v>381</v>
      </c>
      <c r="B81">
        <f>Inputs!$B$3/20*'Section Calcs'!$A$51</f>
        <v>101.19483052913924</v>
      </c>
      <c r="C81" s="13">
        <f>'Section Calcs'!$V$50</f>
        <v>1.1870490124574347</v>
      </c>
      <c r="D81" s="13">
        <f>'Section Calcs'!$V$53</f>
        <v>0</v>
      </c>
    </row>
    <row r="82" spans="1:4" x14ac:dyDescent="0.25">
      <c r="A82" t="s">
        <v>381</v>
      </c>
      <c r="B82">
        <f>Inputs!$B$3/20*'Section Calcs'!$A$51</f>
        <v>101.19483052913924</v>
      </c>
      <c r="C82" s="13">
        <f>'Section Calcs'!$W$50</f>
        <v>1.2236931122702739</v>
      </c>
      <c r="D82" s="13">
        <f>'Section Calcs'!$W$53</f>
        <v>0.10208689805996866</v>
      </c>
    </row>
    <row r="83" spans="1:4" x14ac:dyDescent="0.25">
      <c r="A83" t="s">
        <v>381</v>
      </c>
      <c r="B83">
        <f>Inputs!$B$3/20*'Section Calcs'!$A$51</f>
        <v>101.19483052913924</v>
      </c>
      <c r="C83" s="13">
        <f>'Section Calcs'!$X$50</f>
        <v>1.2969813118959526</v>
      </c>
      <c r="D83" s="13">
        <f>'Section Calcs'!$X$53</f>
        <v>0.31001397090694477</v>
      </c>
    </row>
    <row r="84" spans="1:4" x14ac:dyDescent="0.25">
      <c r="A84" t="s">
        <v>381</v>
      </c>
      <c r="B84">
        <f>Inputs!$B$3/20*'Section Calcs'!$A$51</f>
        <v>101.19483052913924</v>
      </c>
      <c r="C84" s="13">
        <f>'Section Calcs'!$Y$50</f>
        <v>1.3702695115216312</v>
      </c>
      <c r="D84" s="13">
        <f>'Section Calcs'!$Y$53</f>
        <v>0.52214686961074364</v>
      </c>
    </row>
    <row r="85" spans="1:4" x14ac:dyDescent="0.25">
      <c r="A85" t="s">
        <v>381</v>
      </c>
      <c r="B85">
        <f>Inputs!$B$3/20*'Section Calcs'!$A$51</f>
        <v>101.19483052913924</v>
      </c>
      <c r="C85" s="13">
        <f>'Section Calcs'!$Z$50</f>
        <v>1.4435577111473097</v>
      </c>
      <c r="D85" s="13">
        <f>'Section Calcs'!$Z$53</f>
        <v>0.73755949835285617</v>
      </c>
    </row>
    <row r="86" spans="1:4" x14ac:dyDescent="0.25">
      <c r="A86" t="s">
        <v>381</v>
      </c>
      <c r="B86">
        <f>Inputs!$B$3/20*'Section Calcs'!$A$51</f>
        <v>101.19483052913924</v>
      </c>
      <c r="C86" s="13">
        <f>'Section Calcs'!$AA$50</f>
        <v>1.5534900105858276</v>
      </c>
      <c r="D86" s="13">
        <f>'Section Calcs'!$AA$53</f>
        <v>1.0648925392002133</v>
      </c>
    </row>
    <row r="87" spans="1:4" x14ac:dyDescent="0.25">
      <c r="A87" t="s">
        <v>381</v>
      </c>
      <c r="B87">
        <f>Inputs!$B$3/20*'Section Calcs'!$A$51</f>
        <v>101.19483052913924</v>
      </c>
      <c r="C87" s="13">
        <f>'Section Calcs'!$AB$50</f>
        <v>1.7367105096500239</v>
      </c>
      <c r="D87" s="13">
        <f>'Section Calcs'!$AB$53</f>
        <v>1.614771633996865</v>
      </c>
    </row>
    <row r="88" spans="1:4" x14ac:dyDescent="0.25">
      <c r="A88" t="s">
        <v>381</v>
      </c>
      <c r="B88">
        <f>Inputs!$B$3/20*'Section Calcs'!$A$51</f>
        <v>101.19483052913924</v>
      </c>
      <c r="C88" s="13">
        <f>'Section Calcs'!$AC$50</f>
        <v>1.9199310087142205</v>
      </c>
      <c r="D88" s="13">
        <f>'Section Calcs'!$AC$53</f>
        <v>2.1597543112186832</v>
      </c>
    </row>
    <row r="89" spans="1:4" x14ac:dyDescent="0.25">
      <c r="A89" t="s">
        <v>381</v>
      </c>
      <c r="B89">
        <f>Inputs!$B$3/20*'Section Calcs'!$A$51</f>
        <v>101.19483052913924</v>
      </c>
      <c r="C89" s="13">
        <f>'Section Calcs'!$AD$50</f>
        <v>2.2863720068426137</v>
      </c>
      <c r="D89" s="13">
        <f>'Section Calcs'!$AD$53</f>
        <v>3.1940887017573534</v>
      </c>
    </row>
    <row r="90" spans="1:4" x14ac:dyDescent="0.25">
      <c r="A90" t="s">
        <v>381</v>
      </c>
      <c r="B90">
        <f>Inputs!$B$3/20*'Section Calcs'!$A$51</f>
        <v>101.19483052913924</v>
      </c>
      <c r="C90" s="13">
        <f>'Section Calcs'!$AE$50</f>
        <v>2.6528130049710064</v>
      </c>
      <c r="D90" s="13">
        <f>'Section Calcs'!$AE$53</f>
        <v>4.1003676083505454</v>
      </c>
    </row>
    <row r="91" spans="1:4" x14ac:dyDescent="0.25">
      <c r="A91" t="s">
        <v>381</v>
      </c>
      <c r="B91">
        <f>Inputs!$B$3/20*'Section Calcs'!$A$51</f>
        <v>101.19483052913924</v>
      </c>
      <c r="C91" s="13">
        <f>'Section Calcs'!$AF$50</f>
        <v>3.0192540030993991</v>
      </c>
      <c r="D91" s="13">
        <f>'Section Calcs'!$AF$53</f>
        <v>4.8340314403649538</v>
      </c>
    </row>
    <row r="92" spans="1:4" x14ac:dyDescent="0.25">
      <c r="A92" t="s">
        <v>381</v>
      </c>
      <c r="B92">
        <f>Inputs!$B$3/20*'Section Calcs'!$A$51</f>
        <v>101.19483052913924</v>
      </c>
      <c r="C92" s="13">
        <f>'Section Calcs'!$AG$50</f>
        <v>3.3856950012277922</v>
      </c>
      <c r="D92" s="13">
        <f>'Section Calcs'!$AG$53</f>
        <v>5.373489118999653</v>
      </c>
    </row>
    <row r="93" spans="1:4" x14ac:dyDescent="0.25">
      <c r="A93" t="s">
        <v>381</v>
      </c>
      <c r="B93">
        <f>Inputs!$B$3/20*'Section Calcs'!$A$51</f>
        <v>101.19483052913924</v>
      </c>
      <c r="C93" s="13">
        <f>'Section Calcs'!$AH$50</f>
        <v>3.7521359993561849</v>
      </c>
      <c r="D93" s="13">
        <f>'Section Calcs'!$AH$53</f>
        <v>5.720118077286096</v>
      </c>
    </row>
    <row r="94" spans="1:4" x14ac:dyDescent="0.25">
      <c r="A94" t="s">
        <v>381</v>
      </c>
      <c r="B94">
        <f>Inputs!$B$3/20*'Section Calcs'!$A$51</f>
        <v>101.19483052913924</v>
      </c>
      <c r="C94" s="13">
        <f>'Section Calcs'!$AI$50</f>
        <v>4.1185769974845776</v>
      </c>
      <c r="D94" s="13">
        <f>'Section Calcs'!$AI$53</f>
        <v>5.8982642600881148</v>
      </c>
    </row>
    <row r="95" spans="1:4" x14ac:dyDescent="0.25">
      <c r="A95" t="s">
        <v>381</v>
      </c>
      <c r="B95">
        <f>Inputs!$B$3/20*'Section Calcs'!$A$51</f>
        <v>101.19483052913924</v>
      </c>
      <c r="C95" s="13">
        <f>'Section Calcs'!$AJ$50</f>
        <v>4.4850179956129708</v>
      </c>
      <c r="D95" s="13">
        <f>'Section Calcs'!$AJ$53</f>
        <v>5.955242124101872</v>
      </c>
    </row>
    <row r="96" spans="1:4" x14ac:dyDescent="0.25">
      <c r="A96" t="s">
        <v>381</v>
      </c>
      <c r="B96">
        <f>Inputs!$B$3/20*'Section Calcs'!$A$51</f>
        <v>101.19483052913924</v>
      </c>
      <c r="C96" s="13">
        <f>'Section Calcs'!$AK$50</f>
        <v>4.8514589937413639</v>
      </c>
      <c r="D96" s="13">
        <f>'Section Calcs'!$AK$53</f>
        <v>5.9613346378560355</v>
      </c>
    </row>
    <row r="97" spans="1:4" x14ac:dyDescent="0.25">
      <c r="A97" t="s">
        <v>381</v>
      </c>
      <c r="B97">
        <f>Inputs!$B$3/20*'Section Calcs'!$A$51</f>
        <v>101.19483052913924</v>
      </c>
      <c r="C97" s="13">
        <f>'Section Calcs'!$AL$50</f>
        <v>5.9527575044260921</v>
      </c>
      <c r="D97" s="13">
        <f>'Section Calcs'!$AL$53</f>
        <v>6.0078110847665283</v>
      </c>
    </row>
    <row r="98" spans="1:4" x14ac:dyDescent="0.25">
      <c r="A98" t="s">
        <v>381</v>
      </c>
      <c r="B98">
        <f>Inputs!$B$3/20*'Section Calcs'!$A$51</f>
        <v>101.19483052913924</v>
      </c>
      <c r="C98" s="13">
        <f>'Section Calcs'!$AM$50</f>
        <v>7.0540560151108211</v>
      </c>
      <c r="D98" s="13">
        <f>'Section Calcs'!$AM$53</f>
        <v>6.0882168120116846</v>
      </c>
    </row>
    <row r="99" spans="1:4" x14ac:dyDescent="0.25">
      <c r="A99" t="s">
        <v>381</v>
      </c>
      <c r="B99">
        <f>Inputs!$B$3/20*'Section Calcs'!$A$51</f>
        <v>101.19483052913924</v>
      </c>
      <c r="C99" s="13">
        <f>'Section Calcs'!$AN$50</f>
        <v>8.1553545257955502</v>
      </c>
      <c r="D99" s="13">
        <f>'Section Calcs'!$AN$53</f>
        <v>6.2025518195915028</v>
      </c>
    </row>
    <row r="100" spans="1:4" x14ac:dyDescent="0.25">
      <c r="A100" t="s">
        <v>381</v>
      </c>
      <c r="B100">
        <f>Inputs!$B$3/20*'Section Calcs'!$A$51</f>
        <v>101.19483052913924</v>
      </c>
      <c r="C100" s="13">
        <f>'Section Calcs'!$AO$50</f>
        <v>9.2566530364802784</v>
      </c>
      <c r="D100" s="13">
        <f>'Section Calcs'!$AO$53</f>
        <v>6.3508161075059864</v>
      </c>
    </row>
    <row r="101" spans="1:4" x14ac:dyDescent="0.25">
      <c r="A101" t="s">
        <v>381</v>
      </c>
      <c r="B101">
        <f>Inputs!$B$3/20*'Section Calcs'!$A$57</f>
        <v>94.870153621068042</v>
      </c>
      <c r="C101" s="13">
        <f>'Section Calcs'!$V$56</f>
        <v>0.68797988774569951</v>
      </c>
      <c r="D101" s="13">
        <f>'Section Calcs'!$V$59</f>
        <v>0</v>
      </c>
    </row>
    <row r="102" spans="1:4" x14ac:dyDescent="0.25">
      <c r="A102" t="s">
        <v>381</v>
      </c>
      <c r="B102">
        <f>Inputs!$B$3/20*'Section Calcs'!$A$57</f>
        <v>94.870153621068042</v>
      </c>
      <c r="C102" s="13">
        <f>'Section Calcs'!$W$56</f>
        <v>0.72961467880565611</v>
      </c>
      <c r="D102" s="13">
        <f>'Section Calcs'!$W$59</f>
        <v>0.12475018330222053</v>
      </c>
    </row>
    <row r="103" spans="1:4" x14ac:dyDescent="0.25">
      <c r="A103" t="s">
        <v>381</v>
      </c>
      <c r="B103">
        <f>Inputs!$B$3/20*'Section Calcs'!$A$57</f>
        <v>94.870153621068042</v>
      </c>
      <c r="C103" s="13">
        <f>'Section Calcs'!$X$56</f>
        <v>0.81288426092556942</v>
      </c>
      <c r="D103" s="13">
        <f>'Section Calcs'!$X$59</f>
        <v>0.37510746987603932</v>
      </c>
    </row>
    <row r="104" spans="1:4" x14ac:dyDescent="0.25">
      <c r="A104" t="s">
        <v>381</v>
      </c>
      <c r="B104">
        <f>Inputs!$B$3/20*'Section Calcs'!$A$57</f>
        <v>94.870153621068042</v>
      </c>
      <c r="C104" s="13">
        <f>'Section Calcs'!$Y$56</f>
        <v>0.89615384304548273</v>
      </c>
      <c r="D104" s="13">
        <f>'Section Calcs'!$Y$59</f>
        <v>0.62598766347586121</v>
      </c>
    </row>
    <row r="105" spans="1:4" x14ac:dyDescent="0.25">
      <c r="A105" t="s">
        <v>381</v>
      </c>
      <c r="B105">
        <f>Inputs!$B$3/20*'Section Calcs'!$A$57</f>
        <v>94.870153621068042</v>
      </c>
      <c r="C105" s="13">
        <f>'Section Calcs'!$Z$56</f>
        <v>0.97942342516539604</v>
      </c>
      <c r="D105" s="13">
        <f>'Section Calcs'!$Z$59</f>
        <v>0.87667410151392333</v>
      </c>
    </row>
    <row r="106" spans="1:4" x14ac:dyDescent="0.25">
      <c r="A106" t="s">
        <v>381</v>
      </c>
      <c r="B106">
        <f>Inputs!$B$3/20*'Section Calcs'!$A$57</f>
        <v>94.870153621068042</v>
      </c>
      <c r="C106" s="13">
        <f>'Section Calcs'!$AA$56</f>
        <v>1.104327798345266</v>
      </c>
      <c r="D106" s="13">
        <f>'Section Calcs'!$AA$59</f>
        <v>1.2508484826033388</v>
      </c>
    </row>
    <row r="107" spans="1:4" x14ac:dyDescent="0.25">
      <c r="A107" t="s">
        <v>381</v>
      </c>
      <c r="B107">
        <f>Inputs!$B$3/20*'Section Calcs'!$A$57</f>
        <v>94.870153621068042</v>
      </c>
      <c r="C107" s="13">
        <f>'Section Calcs'!$AB$56</f>
        <v>1.3125017536450492</v>
      </c>
      <c r="D107" s="13">
        <f>'Section Calcs'!$AB$59</f>
        <v>1.8642258835748</v>
      </c>
    </row>
    <row r="108" spans="1:4" x14ac:dyDescent="0.25">
      <c r="A108" t="s">
        <v>381</v>
      </c>
      <c r="B108">
        <f>Inputs!$B$3/20*'Section Calcs'!$A$57</f>
        <v>94.870153621068042</v>
      </c>
      <c r="C108" s="13">
        <f>'Section Calcs'!$AC$56</f>
        <v>1.5206757089448324</v>
      </c>
      <c r="D108" s="13">
        <f>'Section Calcs'!$AC$59</f>
        <v>2.4569651199057132</v>
      </c>
    </row>
    <row r="109" spans="1:4" x14ac:dyDescent="0.25">
      <c r="A109" t="s">
        <v>381</v>
      </c>
      <c r="B109">
        <f>Inputs!$B$3/20*'Section Calcs'!$A$57</f>
        <v>94.870153621068042</v>
      </c>
      <c r="C109" s="13">
        <f>'Section Calcs'!$AD$56</f>
        <v>1.9370236195443988</v>
      </c>
      <c r="D109" s="13">
        <f>'Section Calcs'!$AD$59</f>
        <v>3.5499192493232425</v>
      </c>
    </row>
    <row r="110" spans="1:4" x14ac:dyDescent="0.25">
      <c r="A110" t="s">
        <v>381</v>
      </c>
      <c r="B110">
        <f>Inputs!$B$3/20*'Section Calcs'!$A$57</f>
        <v>94.870153621068042</v>
      </c>
      <c r="C110" s="13">
        <f>'Section Calcs'!$AE$56</f>
        <v>2.3533715301439653</v>
      </c>
      <c r="D110" s="13">
        <f>'Section Calcs'!$AE$59</f>
        <v>4.4805094454416183</v>
      </c>
    </row>
    <row r="111" spans="1:4" x14ac:dyDescent="0.25">
      <c r="A111" t="s">
        <v>381</v>
      </c>
      <c r="B111">
        <f>Inputs!$B$3/20*'Section Calcs'!$A$57</f>
        <v>94.870153621068042</v>
      </c>
      <c r="C111" s="13">
        <f>'Section Calcs'!$AF$56</f>
        <v>2.7697194407435317</v>
      </c>
      <c r="D111" s="13">
        <f>'Section Calcs'!$AF$59</f>
        <v>5.2187635200160916</v>
      </c>
    </row>
    <row r="112" spans="1:4" x14ac:dyDescent="0.25">
      <c r="A112" t="s">
        <v>381</v>
      </c>
      <c r="B112">
        <f>Inputs!$B$3/20*'Section Calcs'!$A$57</f>
        <v>94.870153621068042</v>
      </c>
      <c r="C112" s="13">
        <f>'Section Calcs'!$AG$56</f>
        <v>3.1860673513430982</v>
      </c>
      <c r="D112" s="13">
        <f>'Section Calcs'!$AG$59</f>
        <v>5.7539385219714818</v>
      </c>
    </row>
    <row r="113" spans="1:4" x14ac:dyDescent="0.25">
      <c r="A113" t="s">
        <v>381</v>
      </c>
      <c r="B113">
        <f>Inputs!$B$3/20*'Section Calcs'!$A$57</f>
        <v>94.870153621068042</v>
      </c>
      <c r="C113" s="13">
        <f>'Section Calcs'!$AH$56</f>
        <v>3.6024152619426646</v>
      </c>
      <c r="D113" s="13">
        <f>'Section Calcs'!$AH$59</f>
        <v>6.0945207374021839</v>
      </c>
    </row>
    <row r="114" spans="1:4" x14ac:dyDescent="0.25">
      <c r="A114" t="s">
        <v>381</v>
      </c>
      <c r="B114">
        <f>Inputs!$B$3/20*'Section Calcs'!$A$57</f>
        <v>94.870153621068042</v>
      </c>
      <c r="C114" s="13">
        <f>'Section Calcs'!$AI$56</f>
        <v>4.018763172542231</v>
      </c>
      <c r="D114" s="13">
        <f>'Section Calcs'!$AI$59</f>
        <v>6.2682256895721569</v>
      </c>
    </row>
    <row r="115" spans="1:4" x14ac:dyDescent="0.25">
      <c r="A115" t="s">
        <v>381</v>
      </c>
      <c r="B115">
        <f>Inputs!$B$3/20*'Section Calcs'!$A$57</f>
        <v>94.870153621068042</v>
      </c>
      <c r="C115" s="13">
        <f>'Section Calcs'!$AJ$56</f>
        <v>4.4351110831417975</v>
      </c>
      <c r="D115" s="13">
        <f>'Section Calcs'!$AJ$59</f>
        <v>6.3219981389148883</v>
      </c>
    </row>
    <row r="116" spans="1:4" x14ac:dyDescent="0.25">
      <c r="A116" t="s">
        <v>381</v>
      </c>
      <c r="B116">
        <f>Inputs!$B$3/20*'Section Calcs'!$A$57</f>
        <v>94.870153621068042</v>
      </c>
      <c r="C116" s="13">
        <f>'Section Calcs'!$AK$56</f>
        <v>4.8514589937413639</v>
      </c>
      <c r="D116" s="13">
        <f>'Section Calcs'!$AK$59</f>
        <v>6.3220120830335524</v>
      </c>
    </row>
    <row r="117" spans="1:4" x14ac:dyDescent="0.25">
      <c r="A117" t="s">
        <v>381</v>
      </c>
      <c r="B117">
        <f>Inputs!$B$3/20*'Section Calcs'!$A$57</f>
        <v>94.870153621068042</v>
      </c>
      <c r="C117" s="13">
        <f>'Section Calcs'!$AL$56</f>
        <v>5.9404473434502805</v>
      </c>
      <c r="D117" s="13">
        <f>'Section Calcs'!$AL$59</f>
        <v>6.2868789083023771</v>
      </c>
    </row>
    <row r="118" spans="1:4" x14ac:dyDescent="0.25">
      <c r="A118" t="s">
        <v>381</v>
      </c>
      <c r="B118">
        <f>Inputs!$B$3/20*'Section Calcs'!$A$57</f>
        <v>94.870153621068042</v>
      </c>
      <c r="C118" s="13">
        <f>'Section Calcs'!$AM$56</f>
        <v>7.029435693159197</v>
      </c>
      <c r="D118" s="13">
        <f>'Section Calcs'!$AM$59</f>
        <v>6.3326985013917305</v>
      </c>
    </row>
    <row r="119" spans="1:4" x14ac:dyDescent="0.25">
      <c r="A119" t="s">
        <v>381</v>
      </c>
      <c r="B119">
        <f>Inputs!$B$3/20*'Section Calcs'!$A$57</f>
        <v>94.870153621068042</v>
      </c>
      <c r="C119" s="13">
        <f>'Section Calcs'!$AN$56</f>
        <v>8.1184240428681136</v>
      </c>
      <c r="D119" s="13">
        <f>'Section Calcs'!$AN$59</f>
        <v>6.459470862301611</v>
      </c>
    </row>
    <row r="120" spans="1:4" x14ac:dyDescent="0.25">
      <c r="A120" t="s">
        <v>381</v>
      </c>
      <c r="B120">
        <f>Inputs!$B$3/20*'Section Calcs'!$A$57</f>
        <v>94.870153621068042</v>
      </c>
      <c r="C120" s="13">
        <f>'Section Calcs'!$AO$56</f>
        <v>9.2074123925770301</v>
      </c>
      <c r="D120" s="13">
        <f>'Section Calcs'!$AO$59</f>
        <v>6.6671959910320213</v>
      </c>
    </row>
    <row r="121" spans="1:4" x14ac:dyDescent="0.25">
      <c r="A121" t="s">
        <v>381</v>
      </c>
      <c r="B121">
        <f>Inputs!$B$3/20*'Section Calcs'!$A$63</f>
        <v>88.54547671299683</v>
      </c>
      <c r="C121" s="13">
        <f>'Section Calcs'!$V$62</f>
        <v>0.32480778077737416</v>
      </c>
      <c r="D121" s="13">
        <f>'Section Calcs'!$V$65</f>
        <v>0</v>
      </c>
    </row>
    <row r="122" spans="1:4" x14ac:dyDescent="0.25">
      <c r="A122" t="s">
        <v>381</v>
      </c>
      <c r="B122">
        <f>Inputs!$B$3/20*'Section Calcs'!$A$63</f>
        <v>88.54547671299683</v>
      </c>
      <c r="C122" s="13">
        <f>'Section Calcs'!$W$62</f>
        <v>0.37007429290701405</v>
      </c>
      <c r="D122" s="13">
        <f>'Section Calcs'!$W$65</f>
        <v>0.19038952026832795</v>
      </c>
    </row>
    <row r="123" spans="1:4" x14ac:dyDescent="0.25">
      <c r="A123" t="s">
        <v>381</v>
      </c>
      <c r="B123">
        <f>Inputs!$B$3/20*'Section Calcs'!$A$63</f>
        <v>88.54547671299683</v>
      </c>
      <c r="C123" s="13">
        <f>'Section Calcs'!$X$62</f>
        <v>0.46060731716629388</v>
      </c>
      <c r="D123" s="13">
        <f>'Section Calcs'!$X$65</f>
        <v>0.5572262850790074</v>
      </c>
    </row>
    <row r="124" spans="1:4" x14ac:dyDescent="0.25">
      <c r="A124" t="s">
        <v>381</v>
      </c>
      <c r="B124">
        <f>Inputs!$B$3/20*'Section Calcs'!$A$63</f>
        <v>88.54547671299683</v>
      </c>
      <c r="C124" s="13">
        <f>'Section Calcs'!$Y$62</f>
        <v>0.55114034142557367</v>
      </c>
      <c r="D124" s="13">
        <f>'Section Calcs'!$Y$65</f>
        <v>0.90627820954820826</v>
      </c>
    </row>
    <row r="125" spans="1:4" x14ac:dyDescent="0.25">
      <c r="A125" t="s">
        <v>381</v>
      </c>
      <c r="B125">
        <f>Inputs!$B$3/20*'Section Calcs'!$A$63</f>
        <v>88.54547671299683</v>
      </c>
      <c r="C125" s="13">
        <f>'Section Calcs'!$Z$62</f>
        <v>0.64167336568485345</v>
      </c>
      <c r="D125" s="13">
        <f>'Section Calcs'!$Z$65</f>
        <v>1.2384535796070997</v>
      </c>
    </row>
    <row r="126" spans="1:4" x14ac:dyDescent="0.25">
      <c r="A126" t="s">
        <v>381</v>
      </c>
      <c r="B126">
        <f>Inputs!$B$3/20*'Section Calcs'!$A$63</f>
        <v>88.54547671299683</v>
      </c>
      <c r="C126" s="13">
        <f>'Section Calcs'!$AA$62</f>
        <v>0.77747290207377318</v>
      </c>
      <c r="D126" s="13">
        <f>'Section Calcs'!$AA$65</f>
        <v>1.7069115535751389</v>
      </c>
    </row>
    <row r="127" spans="1:4" x14ac:dyDescent="0.25">
      <c r="A127" t="s">
        <v>381</v>
      </c>
      <c r="B127">
        <f>Inputs!$B$3/20*'Section Calcs'!$A$63</f>
        <v>88.54547671299683</v>
      </c>
      <c r="C127" s="13">
        <f>'Section Calcs'!$AB$62</f>
        <v>1.0038054627219726</v>
      </c>
      <c r="D127" s="13">
        <f>'Section Calcs'!$AB$65</f>
        <v>2.4145285209136733</v>
      </c>
    </row>
    <row r="128" spans="1:4" x14ac:dyDescent="0.25">
      <c r="A128" t="s">
        <v>381</v>
      </c>
      <c r="B128">
        <f>Inputs!$B$3/20*'Section Calcs'!$A$63</f>
        <v>88.54547671299683</v>
      </c>
      <c r="C128" s="13">
        <f>'Section Calcs'!$AC$62</f>
        <v>1.2301380233701722</v>
      </c>
      <c r="D128" s="13">
        <f>'Section Calcs'!$AC$65</f>
        <v>3.0398219621256741</v>
      </c>
    </row>
    <row r="129" spans="1:4" x14ac:dyDescent="0.25">
      <c r="A129" t="s">
        <v>381</v>
      </c>
      <c r="B129">
        <f>Inputs!$B$3/20*'Section Calcs'!$A$63</f>
        <v>88.54547671299683</v>
      </c>
      <c r="C129" s="13">
        <f>'Section Calcs'!$AD$62</f>
        <v>1.682803144666571</v>
      </c>
      <c r="D129" s="13">
        <f>'Section Calcs'!$AD$65</f>
        <v>4.078598230510269</v>
      </c>
    </row>
    <row r="130" spans="1:4" x14ac:dyDescent="0.25">
      <c r="A130" t="s">
        <v>381</v>
      </c>
      <c r="B130">
        <f>Inputs!$B$3/20*'Section Calcs'!$A$63</f>
        <v>88.54547671299683</v>
      </c>
      <c r="C130" s="13">
        <f>'Section Calcs'!$AE$62</f>
        <v>2.1354682659629702</v>
      </c>
      <c r="D130" s="13">
        <f>'Section Calcs'!$AE$65</f>
        <v>4.8818779922571665</v>
      </c>
    </row>
    <row r="131" spans="1:4" x14ac:dyDescent="0.25">
      <c r="A131" t="s">
        <v>381</v>
      </c>
      <c r="B131">
        <f>Inputs!$B$3/20*'Section Calcs'!$A$63</f>
        <v>88.54547671299683</v>
      </c>
      <c r="C131" s="13">
        <f>'Section Calcs'!$AF$62</f>
        <v>2.588133387259369</v>
      </c>
      <c r="D131" s="13">
        <f>'Section Calcs'!$AF$65</f>
        <v>5.4936836812499967</v>
      </c>
    </row>
    <row r="132" spans="1:4" x14ac:dyDescent="0.25">
      <c r="A132" t="s">
        <v>381</v>
      </c>
      <c r="B132">
        <f>Inputs!$B$3/20*'Section Calcs'!$A$63</f>
        <v>88.54547671299683</v>
      </c>
      <c r="C132" s="13">
        <f>'Section Calcs'!$AG$62</f>
        <v>3.0407985085557678</v>
      </c>
      <c r="D132" s="13">
        <f>'Section Calcs'!$AG$65</f>
        <v>5.9477089168865716</v>
      </c>
    </row>
    <row r="133" spans="1:4" x14ac:dyDescent="0.25">
      <c r="A133" t="s">
        <v>381</v>
      </c>
      <c r="B133">
        <f>Inputs!$B$3/20*'Section Calcs'!$A$63</f>
        <v>88.54547671299683</v>
      </c>
      <c r="C133" s="13">
        <f>'Section Calcs'!$AH$62</f>
        <v>3.4934636298521666</v>
      </c>
      <c r="D133" s="13">
        <f>'Section Calcs'!$AH$65</f>
        <v>6.2701799255594999</v>
      </c>
    </row>
    <row r="134" spans="1:4" x14ac:dyDescent="0.25">
      <c r="A134" t="s">
        <v>381</v>
      </c>
      <c r="B134">
        <f>Inputs!$B$3/20*'Section Calcs'!$A$63</f>
        <v>88.54547671299683</v>
      </c>
      <c r="C134" s="13">
        <f>'Section Calcs'!$AI$62</f>
        <v>3.9461287511485663</v>
      </c>
      <c r="D134" s="13">
        <f>'Section Calcs'!$AI$65</f>
        <v>6.4818156512080227</v>
      </c>
    </row>
    <row r="135" spans="1:4" x14ac:dyDescent="0.25">
      <c r="A135" t="s">
        <v>381</v>
      </c>
      <c r="B135">
        <f>Inputs!$B$3/20*'Section Calcs'!$A$63</f>
        <v>88.54547671299683</v>
      </c>
      <c r="C135" s="13">
        <f>'Section Calcs'!$AJ$62</f>
        <v>4.3987938724449647</v>
      </c>
      <c r="D135" s="13">
        <f>'Section Calcs'!$AJ$65</f>
        <v>6.5992012522373464</v>
      </c>
    </row>
    <row r="136" spans="1:4" x14ac:dyDescent="0.25">
      <c r="A136" t="s">
        <v>381</v>
      </c>
      <c r="B136">
        <f>Inputs!$B$3/20*'Section Calcs'!$A$63</f>
        <v>88.54547671299683</v>
      </c>
      <c r="C136" s="13">
        <f>'Section Calcs'!$AK$62</f>
        <v>4.8514589937413639</v>
      </c>
      <c r="D136" s="13">
        <f>'Section Calcs'!$AK$65</f>
        <v>6.6357700730737044</v>
      </c>
    </row>
    <row r="137" spans="1:4" x14ac:dyDescent="0.25">
      <c r="A137" t="s">
        <v>381</v>
      </c>
      <c r="B137">
        <f>Inputs!$B$3/20*'Section Calcs'!$A$63</f>
        <v>88.54547671299683</v>
      </c>
      <c r="C137" s="13">
        <f>'Section Calcs'!$AL$62</f>
        <v>5.9281405899156017</v>
      </c>
      <c r="D137" s="13">
        <f>'Section Calcs'!$AL$65</f>
        <v>6.5417224195955015</v>
      </c>
    </row>
    <row r="138" spans="1:4" x14ac:dyDescent="0.25">
      <c r="A138" t="s">
        <v>381</v>
      </c>
      <c r="B138">
        <f>Inputs!$B$3/20*'Section Calcs'!$A$63</f>
        <v>88.54547671299683</v>
      </c>
      <c r="C138" s="13">
        <f>'Section Calcs'!$AM$62</f>
        <v>7.0048221860898394</v>
      </c>
      <c r="D138" s="13">
        <f>'Section Calcs'!$AM$65</f>
        <v>6.5545155872620544</v>
      </c>
    </row>
    <row r="139" spans="1:4" x14ac:dyDescent="0.25">
      <c r="A139" t="s">
        <v>381</v>
      </c>
      <c r="B139">
        <f>Inputs!$B$3/20*'Section Calcs'!$A$63</f>
        <v>88.54547671299683</v>
      </c>
      <c r="C139" s="13">
        <f>'Section Calcs'!$AN$62</f>
        <v>8.0815037822640772</v>
      </c>
      <c r="D139" s="13">
        <f>'Section Calcs'!$AN$65</f>
        <v>6.674149576073364</v>
      </c>
    </row>
    <row r="140" spans="1:4" x14ac:dyDescent="0.25">
      <c r="A140" t="s">
        <v>381</v>
      </c>
      <c r="B140">
        <f>Inputs!$B$3/20*'Section Calcs'!$A$63</f>
        <v>88.54547671299683</v>
      </c>
      <c r="C140" s="13">
        <f>'Section Calcs'!$AO$62</f>
        <v>9.1581853784383149</v>
      </c>
      <c r="D140" s="13">
        <f>'Section Calcs'!$AO$65</f>
        <v>6.9006243860294267</v>
      </c>
    </row>
    <row r="141" spans="1:4" x14ac:dyDescent="0.25">
      <c r="A141" t="s">
        <v>381</v>
      </c>
      <c r="B141">
        <f>Inputs!$B$3/20*'Section Calcs'!$A$69</f>
        <v>82.220799804925633</v>
      </c>
      <c r="C141" s="13">
        <f>'Section Calcs'!$V$68</f>
        <v>0.10022341115138911</v>
      </c>
      <c r="D141" s="13">
        <f>'Section Calcs'!$V$71</f>
        <v>0</v>
      </c>
    </row>
    <row r="142" spans="1:4" x14ac:dyDescent="0.25">
      <c r="A142" t="s">
        <v>381</v>
      </c>
      <c r="B142">
        <f>Inputs!$B$3/20*'Section Calcs'!$A$69</f>
        <v>82.220799804925633</v>
      </c>
      <c r="C142" s="13">
        <f>'Section Calcs'!$W$68</f>
        <v>0.14773576697728885</v>
      </c>
      <c r="D142" s="13">
        <f>'Section Calcs'!$W$71</f>
        <v>0.23147072826309903</v>
      </c>
    </row>
    <row r="143" spans="1:4" x14ac:dyDescent="0.25">
      <c r="A143" t="s">
        <v>381</v>
      </c>
      <c r="B143">
        <f>Inputs!$B$3/20*'Section Calcs'!$A$69</f>
        <v>82.220799804925633</v>
      </c>
      <c r="C143" s="13">
        <f>'Section Calcs'!$X$68</f>
        <v>0.24276047862908834</v>
      </c>
      <c r="D143" s="13">
        <f>'Section Calcs'!$X$71</f>
        <v>0.67152389363127696</v>
      </c>
    </row>
    <row r="144" spans="1:4" x14ac:dyDescent="0.25">
      <c r="A144" t="s">
        <v>381</v>
      </c>
      <c r="B144">
        <f>Inputs!$B$3/20*'Section Calcs'!$A$69</f>
        <v>82.220799804925633</v>
      </c>
      <c r="C144" s="13">
        <f>'Section Calcs'!$Y$68</f>
        <v>0.33778519028088783</v>
      </c>
      <c r="D144" s="13">
        <f>'Section Calcs'!$Y$71</f>
        <v>1.0830837141222645</v>
      </c>
    </row>
    <row r="145" spans="1:4" x14ac:dyDescent="0.25">
      <c r="A145" t="s">
        <v>381</v>
      </c>
      <c r="B145">
        <f>Inputs!$B$3/20*'Section Calcs'!$A$69</f>
        <v>82.220799804925633</v>
      </c>
      <c r="C145" s="13">
        <f>'Section Calcs'!$Z$68</f>
        <v>0.43280990193268737</v>
      </c>
      <c r="D145" s="13">
        <f>'Section Calcs'!$Z$71</f>
        <v>1.4683596726643315</v>
      </c>
    </row>
    <row r="146" spans="1:4" x14ac:dyDescent="0.25">
      <c r="A146" t="s">
        <v>381</v>
      </c>
      <c r="B146">
        <f>Inputs!$B$3/20*'Section Calcs'!$A$69</f>
        <v>82.220799804925633</v>
      </c>
      <c r="C146" s="13">
        <f>'Section Calcs'!$AA$68</f>
        <v>0.57534696941038654</v>
      </c>
      <c r="D146" s="13">
        <f>'Section Calcs'!$AA$71</f>
        <v>2.0012834142248481</v>
      </c>
    </row>
    <row r="147" spans="1:4" x14ac:dyDescent="0.25">
      <c r="A147" t="s">
        <v>381</v>
      </c>
      <c r="B147">
        <f>Inputs!$B$3/20*'Section Calcs'!$A$69</f>
        <v>82.220799804925633</v>
      </c>
      <c r="C147" s="13">
        <f>'Section Calcs'!$AB$68</f>
        <v>0.81290874853988526</v>
      </c>
      <c r="D147" s="13">
        <f>'Section Calcs'!$AB$71</f>
        <v>2.7835682692985122</v>
      </c>
    </row>
    <row r="148" spans="1:4" x14ac:dyDescent="0.25">
      <c r="A148" t="s">
        <v>381</v>
      </c>
      <c r="B148">
        <f>Inputs!$B$3/20*'Section Calcs'!$A$69</f>
        <v>82.220799804925633</v>
      </c>
      <c r="C148" s="13">
        <f>'Section Calcs'!$AC$68</f>
        <v>1.050470527669384</v>
      </c>
      <c r="D148" s="13">
        <f>'Section Calcs'!$AC$71</f>
        <v>3.4524966098553262</v>
      </c>
    </row>
    <row r="149" spans="1:4" x14ac:dyDescent="0.25">
      <c r="A149" t="s">
        <v>381</v>
      </c>
      <c r="B149">
        <f>Inputs!$B$3/20*'Section Calcs'!$A$69</f>
        <v>82.220799804925633</v>
      </c>
      <c r="C149" s="13">
        <f>'Section Calcs'!$AD$68</f>
        <v>1.5255940859283814</v>
      </c>
      <c r="D149" s="13">
        <f>'Section Calcs'!$AD$71</f>
        <v>4.5180431511949317</v>
      </c>
    </row>
    <row r="150" spans="1:4" x14ac:dyDescent="0.25">
      <c r="A150" t="s">
        <v>381</v>
      </c>
      <c r="B150">
        <f>Inputs!$B$3/20*'Section Calcs'!$A$69</f>
        <v>82.220799804925633</v>
      </c>
      <c r="C150" s="13">
        <f>'Section Calcs'!$AE$68</f>
        <v>2.0007176441873789</v>
      </c>
      <c r="D150" s="13">
        <f>'Section Calcs'!$AE$71</f>
        <v>5.3027469262578313</v>
      </c>
    </row>
    <row r="151" spans="1:4" x14ac:dyDescent="0.25">
      <c r="A151" t="s">
        <v>381</v>
      </c>
      <c r="B151">
        <f>Inputs!$B$3/20*'Section Calcs'!$A$69</f>
        <v>82.220799804925633</v>
      </c>
      <c r="C151" s="13">
        <f>'Section Calcs'!$AF$68</f>
        <v>2.4758412024463765</v>
      </c>
      <c r="D151" s="13">
        <f>'Section Calcs'!$AF$71</f>
        <v>5.876599552323464</v>
      </c>
    </row>
    <row r="152" spans="1:4" x14ac:dyDescent="0.25">
      <c r="A152" t="s">
        <v>381</v>
      </c>
      <c r="B152">
        <f>Inputs!$B$3/20*'Section Calcs'!$A$69</f>
        <v>82.220799804925633</v>
      </c>
      <c r="C152" s="13">
        <f>'Section Calcs'!$AG$68</f>
        <v>2.9509647607053737</v>
      </c>
      <c r="D152" s="13">
        <f>'Section Calcs'!$AG$71</f>
        <v>6.288118807457856</v>
      </c>
    </row>
    <row r="153" spans="1:4" x14ac:dyDescent="0.25">
      <c r="A153" t="s">
        <v>381</v>
      </c>
      <c r="B153">
        <f>Inputs!$B$3/20*'Section Calcs'!$A$69</f>
        <v>82.220799804925633</v>
      </c>
      <c r="C153" s="13">
        <f>'Section Calcs'!$AH$68</f>
        <v>3.4260883189643714</v>
      </c>
      <c r="D153" s="13">
        <f>'Section Calcs'!$AH$71</f>
        <v>6.5719973383642332</v>
      </c>
    </row>
    <row r="154" spans="1:4" x14ac:dyDescent="0.25">
      <c r="A154" t="s">
        <v>381</v>
      </c>
      <c r="B154">
        <f>Inputs!$B$3/20*'Section Calcs'!$A$69</f>
        <v>82.220799804925633</v>
      </c>
      <c r="C154" s="13">
        <f>'Section Calcs'!$AI$68</f>
        <v>3.901211877223369</v>
      </c>
      <c r="D154" s="13">
        <f>'Section Calcs'!$AI$71</f>
        <v>6.7536995269223912</v>
      </c>
    </row>
    <row r="155" spans="1:4" x14ac:dyDescent="0.25">
      <c r="A155" t="s">
        <v>381</v>
      </c>
      <c r="B155">
        <f>Inputs!$B$3/20*'Section Calcs'!$A$69</f>
        <v>82.220799804925633</v>
      </c>
      <c r="C155" s="13">
        <f>'Section Calcs'!$AJ$68</f>
        <v>4.3763354354823667</v>
      </c>
      <c r="D155" s="13">
        <f>'Section Calcs'!$AJ$71</f>
        <v>6.8523385689872871</v>
      </c>
    </row>
    <row r="156" spans="1:4" x14ac:dyDescent="0.25">
      <c r="A156" t="s">
        <v>381</v>
      </c>
      <c r="B156">
        <f>Inputs!$B$3/20*'Section Calcs'!$A$69</f>
        <v>82.220799804925633</v>
      </c>
      <c r="C156" s="13">
        <f>'Section Calcs'!$AK$68</f>
        <v>4.8514589937413639</v>
      </c>
      <c r="D156" s="13">
        <f>'Section Calcs'!$AK$71</f>
        <v>6.8825403521952069</v>
      </c>
    </row>
    <row r="157" spans="1:4" x14ac:dyDescent="0.25">
      <c r="A157" t="s">
        <v>381</v>
      </c>
      <c r="B157">
        <f>Inputs!$B$3/20*'Section Calcs'!$A$69</f>
        <v>82.220799804925633</v>
      </c>
      <c r="C157" s="13">
        <f>'Section Calcs'!$AL$68</f>
        <v>5.9158241806935772</v>
      </c>
      <c r="D157" s="13">
        <f>'Section Calcs'!$AL$71</f>
        <v>6.7643808102871965</v>
      </c>
    </row>
    <row r="158" spans="1:4" x14ac:dyDescent="0.25">
      <c r="A158" t="s">
        <v>381</v>
      </c>
      <c r="B158">
        <f>Inputs!$B$3/20*'Section Calcs'!$A$69</f>
        <v>82.220799804925633</v>
      </c>
      <c r="C158" s="13">
        <f>'Section Calcs'!$AM$68</f>
        <v>6.9801893676457905</v>
      </c>
      <c r="D158" s="13">
        <f>'Section Calcs'!$AM$71</f>
        <v>6.7538348463499638</v>
      </c>
    </row>
    <row r="159" spans="1:4" x14ac:dyDescent="0.25">
      <c r="A159" t="s">
        <v>381</v>
      </c>
      <c r="B159">
        <f>Inputs!$B$3/20*'Section Calcs'!$A$69</f>
        <v>82.220799804925633</v>
      </c>
      <c r="C159" s="13">
        <f>'Section Calcs'!$AN$68</f>
        <v>8.0445545545980046</v>
      </c>
      <c r="D159" s="13">
        <f>'Section Calcs'!$AN$71</f>
        <v>6.8509024603835087</v>
      </c>
    </row>
    <row r="160" spans="1:4" x14ac:dyDescent="0.25">
      <c r="A160" t="s">
        <v>381</v>
      </c>
      <c r="B160">
        <f>Inputs!$B$3/20*'Section Calcs'!$A$69</f>
        <v>82.220799804925633</v>
      </c>
      <c r="C160" s="13">
        <f>'Section Calcs'!$AO$68</f>
        <v>9.108919741550217</v>
      </c>
      <c r="D160" s="13">
        <f>'Section Calcs'!$AO$71</f>
        <v>7.0555836523878313</v>
      </c>
    </row>
    <row r="161" spans="1:4" x14ac:dyDescent="0.25">
      <c r="A161" t="s">
        <v>381</v>
      </c>
      <c r="B161">
        <f>Inputs!$B$3/20*'Section Calcs'!$A$75</f>
        <v>75.896122896854422</v>
      </c>
      <c r="C161" s="13">
        <f>'Section Calcs'!$V$74</f>
        <v>1.1197446890085949E-2</v>
      </c>
      <c r="D161" s="13">
        <f>'Section Calcs'!$V$77</f>
        <v>0</v>
      </c>
    </row>
    <row r="162" spans="1:4" x14ac:dyDescent="0.25">
      <c r="A162" t="s">
        <v>381</v>
      </c>
      <c r="B162">
        <f>Inputs!$B$3/20*'Section Calcs'!$A$75</f>
        <v>75.896122896854422</v>
      </c>
      <c r="C162" s="13">
        <f>'Section Calcs'!$W$74</f>
        <v>5.9600062358598729E-2</v>
      </c>
      <c r="D162" s="13">
        <f>'Section Calcs'!$W$77</f>
        <v>0.29673874731372168</v>
      </c>
    </row>
    <row r="163" spans="1:4" x14ac:dyDescent="0.25">
      <c r="A163" t="s">
        <v>381</v>
      </c>
      <c r="B163">
        <f>Inputs!$B$3/20*'Section Calcs'!$A$75</f>
        <v>75.896122896854422</v>
      </c>
      <c r="C163" s="13">
        <f>'Section Calcs'!$X$74</f>
        <v>0.15640529329562428</v>
      </c>
      <c r="D163" s="13">
        <f>'Section Calcs'!$X$77</f>
        <v>0.84762916965164448</v>
      </c>
    </row>
    <row r="164" spans="1:4" x14ac:dyDescent="0.25">
      <c r="A164" t="s">
        <v>381</v>
      </c>
      <c r="B164">
        <f>Inputs!$B$3/20*'Section Calcs'!$A$75</f>
        <v>75.896122896854422</v>
      </c>
      <c r="C164" s="13">
        <f>'Section Calcs'!$Y$74</f>
        <v>0.25321052423264989</v>
      </c>
      <c r="D164" s="13">
        <f>'Section Calcs'!$Y$77</f>
        <v>1.3476416600722154</v>
      </c>
    </row>
    <row r="165" spans="1:4" x14ac:dyDescent="0.25">
      <c r="A165" t="s">
        <v>381</v>
      </c>
      <c r="B165">
        <f>Inputs!$B$3/20*'Section Calcs'!$A$75</f>
        <v>75.896122896854422</v>
      </c>
      <c r="C165" s="13">
        <f>'Section Calcs'!$Z$74</f>
        <v>0.35001575516967542</v>
      </c>
      <c r="D165" s="13">
        <f>'Section Calcs'!$Z$77</f>
        <v>1.8028716209221038</v>
      </c>
    </row>
    <row r="166" spans="1:4" x14ac:dyDescent="0.25">
      <c r="A166" t="s">
        <v>381</v>
      </c>
      <c r="B166">
        <f>Inputs!$B$3/20*'Section Calcs'!$A$75</f>
        <v>75.896122896854422</v>
      </c>
      <c r="C166" s="13">
        <f>'Section Calcs'!$AA$74</f>
        <v>0.49522360157521378</v>
      </c>
      <c r="D166" s="13">
        <f>'Section Calcs'!$AA$77</f>
        <v>2.412822281225917</v>
      </c>
    </row>
    <row r="167" spans="1:4" x14ac:dyDescent="0.25">
      <c r="A167" t="s">
        <v>381</v>
      </c>
      <c r="B167">
        <f>Inputs!$B$3/20*'Section Calcs'!$A$75</f>
        <v>75.896122896854422</v>
      </c>
      <c r="C167" s="13">
        <f>'Section Calcs'!$AB$74</f>
        <v>0.73723667891777767</v>
      </c>
      <c r="D167" s="13">
        <f>'Section Calcs'!$AB$77</f>
        <v>3.268489483956996</v>
      </c>
    </row>
    <row r="168" spans="1:4" x14ac:dyDescent="0.25">
      <c r="A168" t="s">
        <v>381</v>
      </c>
      <c r="B168">
        <f>Inputs!$B$3/20*'Section Calcs'!$A$75</f>
        <v>75.896122896854422</v>
      </c>
      <c r="C168" s="13">
        <f>'Section Calcs'!$AC$74</f>
        <v>0.97924975626034161</v>
      </c>
      <c r="D168" s="13">
        <f>'Section Calcs'!$AC$77</f>
        <v>3.9644628756650735</v>
      </c>
    </row>
    <row r="169" spans="1:4" x14ac:dyDescent="0.25">
      <c r="A169" t="s">
        <v>381</v>
      </c>
      <c r="B169">
        <f>Inputs!$B$3/20*'Section Calcs'!$A$75</f>
        <v>75.896122896854422</v>
      </c>
      <c r="C169" s="13">
        <f>'Section Calcs'!$AD$74</f>
        <v>1.4632759109454694</v>
      </c>
      <c r="D169" s="13">
        <f>'Section Calcs'!$AD$77</f>
        <v>5.0084368325525626</v>
      </c>
    </row>
    <row r="170" spans="1:4" x14ac:dyDescent="0.25">
      <c r="A170" t="s">
        <v>381</v>
      </c>
      <c r="B170">
        <f>Inputs!$B$3/20*'Section Calcs'!$A$75</f>
        <v>75.896122896854422</v>
      </c>
      <c r="C170" s="13">
        <f>'Section Calcs'!$AE$74</f>
        <v>1.9473020656305973</v>
      </c>
      <c r="D170" s="13">
        <f>'Section Calcs'!$AE$77</f>
        <v>5.7280578632245298</v>
      </c>
    </row>
    <row r="171" spans="1:4" x14ac:dyDescent="0.25">
      <c r="A171" t="s">
        <v>381</v>
      </c>
      <c r="B171">
        <f>Inputs!$B$3/20*'Section Calcs'!$A$75</f>
        <v>75.896122896854422</v>
      </c>
      <c r="C171" s="13">
        <f>'Section Calcs'!$AF$74</f>
        <v>2.4313282203157249</v>
      </c>
      <c r="D171" s="13">
        <f>'Section Calcs'!$AF$77</f>
        <v>6.2278642035327723</v>
      </c>
    </row>
    <row r="172" spans="1:4" x14ac:dyDescent="0.25">
      <c r="A172" t="s">
        <v>381</v>
      </c>
      <c r="B172">
        <f>Inputs!$B$3/20*'Section Calcs'!$A$75</f>
        <v>75.896122896854422</v>
      </c>
      <c r="C172" s="13">
        <f>'Section Calcs'!$AG$74</f>
        <v>2.9153543750008528</v>
      </c>
      <c r="D172" s="13">
        <f>'Section Calcs'!$AG$77</f>
        <v>6.5718288590696341</v>
      </c>
    </row>
    <row r="173" spans="1:4" x14ac:dyDescent="0.25">
      <c r="A173" t="s">
        <v>381</v>
      </c>
      <c r="B173">
        <f>Inputs!$B$3/20*'Section Calcs'!$A$75</f>
        <v>75.896122896854422</v>
      </c>
      <c r="C173" s="13">
        <f>'Section Calcs'!$AH$74</f>
        <v>3.3993805296859803</v>
      </c>
      <c r="D173" s="13">
        <f>'Section Calcs'!$AH$77</f>
        <v>6.8012958675668722</v>
      </c>
    </row>
    <row r="174" spans="1:4" x14ac:dyDescent="0.25">
      <c r="A174" t="s">
        <v>381</v>
      </c>
      <c r="B174">
        <f>Inputs!$B$3/20*'Section Calcs'!$A$75</f>
        <v>75.896122896854422</v>
      </c>
      <c r="C174" s="13">
        <f>'Section Calcs'!$AI$74</f>
        <v>3.8834066843711086</v>
      </c>
      <c r="D174" s="13">
        <f>'Section Calcs'!$AI$77</f>
        <v>6.9441729666729124</v>
      </c>
    </row>
    <row r="175" spans="1:4" x14ac:dyDescent="0.25">
      <c r="A175" t="s">
        <v>381</v>
      </c>
      <c r="B175">
        <f>Inputs!$B$3/20*'Section Calcs'!$A$75</f>
        <v>75.896122896854422</v>
      </c>
      <c r="C175" s="13">
        <f>'Section Calcs'!$AJ$74</f>
        <v>4.367432839056236</v>
      </c>
      <c r="D175" s="13">
        <f>'Section Calcs'!$AJ$77</f>
        <v>7.0199797368229166</v>
      </c>
    </row>
    <row r="176" spans="1:4" x14ac:dyDescent="0.25">
      <c r="A176" t="s">
        <v>381</v>
      </c>
      <c r="B176">
        <f>Inputs!$B$3/20*'Section Calcs'!$A$75</f>
        <v>75.896122896854422</v>
      </c>
      <c r="C176" s="13">
        <f>'Section Calcs'!$AK$74</f>
        <v>4.8514589937413639</v>
      </c>
      <c r="D176" s="13">
        <f>'Section Calcs'!$AK$77</f>
        <v>7.0427788503840265</v>
      </c>
    </row>
    <row r="177" spans="1:4" x14ac:dyDescent="0.25">
      <c r="A177" t="s">
        <v>381</v>
      </c>
      <c r="B177">
        <f>Inputs!$B$3/20*'Section Calcs'!$A$75</f>
        <v>75.896122896854422</v>
      </c>
      <c r="C177" s="13">
        <f>'Section Calcs'!$AL$74</f>
        <v>5.9035327691977448</v>
      </c>
      <c r="D177" s="13">
        <f>'Section Calcs'!$AL$77</f>
        <v>6.9402745355749627</v>
      </c>
    </row>
    <row r="178" spans="1:4" x14ac:dyDescent="0.25">
      <c r="A178" t="s">
        <v>381</v>
      </c>
      <c r="B178">
        <f>Inputs!$B$3/20*'Section Calcs'!$A$75</f>
        <v>75.896122896854422</v>
      </c>
      <c r="C178" s="13">
        <f>'Section Calcs'!$AM$74</f>
        <v>6.9556065446541258</v>
      </c>
      <c r="D178" s="13">
        <f>'Section Calcs'!$AM$77</f>
        <v>6.9220601408196778</v>
      </c>
    </row>
    <row r="179" spans="1:4" x14ac:dyDescent="0.25">
      <c r="A179" t="s">
        <v>381</v>
      </c>
      <c r="B179">
        <f>Inputs!$B$3/20*'Section Calcs'!$A$75</f>
        <v>75.896122896854422</v>
      </c>
      <c r="C179" s="13">
        <f>'Section Calcs'!$AN$74</f>
        <v>8.0076803201105058</v>
      </c>
      <c r="D179" s="13">
        <f>'Section Calcs'!$AN$77</f>
        <v>6.9881356661181702</v>
      </c>
    </row>
    <row r="180" spans="1:4" x14ac:dyDescent="0.25">
      <c r="A180" t="s">
        <v>381</v>
      </c>
      <c r="B180">
        <f>Inputs!$B$3/20*'Section Calcs'!$A$75</f>
        <v>75.896122896854422</v>
      </c>
      <c r="C180" s="13">
        <f>'Section Calcs'!$AO$74</f>
        <v>9.0597540955668876</v>
      </c>
      <c r="D180" s="13">
        <f>'Section Calcs'!$AO$77</f>
        <v>7.1385011114704451</v>
      </c>
    </row>
    <row r="181" spans="1:4" x14ac:dyDescent="0.25">
      <c r="A181" t="s">
        <v>381</v>
      </c>
      <c r="B181">
        <f>Inputs!$B$3/20*'Section Calcs'!$A$81</f>
        <v>69.571445988783225</v>
      </c>
      <c r="C181" s="13">
        <f>'Section Calcs'!$V$80</f>
        <v>0</v>
      </c>
      <c r="D181" s="13">
        <f>'Section Calcs'!$V$83</f>
        <v>0</v>
      </c>
    </row>
    <row r="182" spans="1:4" x14ac:dyDescent="0.25">
      <c r="A182" t="s">
        <v>381</v>
      </c>
      <c r="B182">
        <f>Inputs!$B$3/20*'Section Calcs'!$A$81</f>
        <v>69.571445988783225</v>
      </c>
      <c r="C182" s="13">
        <f>'Section Calcs'!$W$80</f>
        <v>4.8514589937413644E-2</v>
      </c>
      <c r="D182" s="13">
        <f>'Section Calcs'!$W$83</f>
        <v>0.38327691007826786</v>
      </c>
    </row>
    <row r="183" spans="1:4" x14ac:dyDescent="0.25">
      <c r="A183" t="s">
        <v>381</v>
      </c>
      <c r="B183">
        <f>Inputs!$B$3/20*'Section Calcs'!$A$81</f>
        <v>69.571445988783225</v>
      </c>
      <c r="C183" s="13">
        <f>'Section Calcs'!$X$80</f>
        <v>0.1455437698122409</v>
      </c>
      <c r="D183" s="13">
        <f>'Section Calcs'!$X$83</f>
        <v>1.0712072671753523</v>
      </c>
    </row>
    <row r="184" spans="1:4" x14ac:dyDescent="0.25">
      <c r="A184" t="s">
        <v>381</v>
      </c>
      <c r="B184">
        <f>Inputs!$B$3/20*'Section Calcs'!$A$81</f>
        <v>69.571445988783225</v>
      </c>
      <c r="C184" s="13">
        <f>'Section Calcs'!$Y$80</f>
        <v>0.24257294968706822</v>
      </c>
      <c r="D184" s="13">
        <f>'Section Calcs'!$Y$83</f>
        <v>1.6703098366310154</v>
      </c>
    </row>
    <row r="185" spans="1:4" x14ac:dyDescent="0.25">
      <c r="A185" t="s">
        <v>381</v>
      </c>
      <c r="B185">
        <f>Inputs!$B$3/20*'Section Calcs'!$A$81</f>
        <v>69.571445988783225</v>
      </c>
      <c r="C185" s="13">
        <f>'Section Calcs'!$Z$80</f>
        <v>0.3396021295618955</v>
      </c>
      <c r="D185" s="13">
        <f>'Section Calcs'!$Z$83</f>
        <v>2.1959206346143616</v>
      </c>
    </row>
    <row r="186" spans="1:4" x14ac:dyDescent="0.25">
      <c r="A186" t="s">
        <v>381</v>
      </c>
      <c r="B186">
        <f>Inputs!$B$3/20*'Section Calcs'!$A$81</f>
        <v>69.571445988783225</v>
      </c>
      <c r="C186" s="13">
        <f>'Section Calcs'!$AA$80</f>
        <v>0.48514589937413644</v>
      </c>
      <c r="D186" s="13">
        <f>'Section Calcs'!$AA$83</f>
        <v>2.872089762380106</v>
      </c>
    </row>
    <row r="187" spans="1:4" x14ac:dyDescent="0.25">
      <c r="A187" t="s">
        <v>381</v>
      </c>
      <c r="B187">
        <f>Inputs!$B$3/20*'Section Calcs'!$A$81</f>
        <v>69.571445988783225</v>
      </c>
      <c r="C187" s="13">
        <f>'Section Calcs'!$AB$80</f>
        <v>0.72771884906120454</v>
      </c>
      <c r="D187" s="13">
        <f>'Section Calcs'!$AB$83</f>
        <v>3.7697261666408775</v>
      </c>
    </row>
    <row r="188" spans="1:4" x14ac:dyDescent="0.25">
      <c r="A188" t="s">
        <v>381</v>
      </c>
      <c r="B188">
        <f>Inputs!$B$3/20*'Section Calcs'!$A$81</f>
        <v>69.571445988783225</v>
      </c>
      <c r="C188" s="13">
        <f>'Section Calcs'!$AC$80</f>
        <v>0.97029179874827287</v>
      </c>
      <c r="D188" s="13">
        <f>'Section Calcs'!$AC$83</f>
        <v>4.4587562769922533</v>
      </c>
    </row>
    <row r="189" spans="1:4" x14ac:dyDescent="0.25">
      <c r="A189" t="s">
        <v>381</v>
      </c>
      <c r="B189">
        <f>Inputs!$B$3/20*'Section Calcs'!$A$81</f>
        <v>69.571445988783225</v>
      </c>
      <c r="C189" s="13">
        <f>'Section Calcs'!$AD$80</f>
        <v>1.4554376981224091</v>
      </c>
      <c r="D189" s="13">
        <f>'Section Calcs'!$AD$83</f>
        <v>5.4277215995053592</v>
      </c>
    </row>
    <row r="190" spans="1:4" x14ac:dyDescent="0.25">
      <c r="A190" t="s">
        <v>381</v>
      </c>
      <c r="B190">
        <f>Inputs!$B$3/20*'Section Calcs'!$A$81</f>
        <v>69.571445988783225</v>
      </c>
      <c r="C190" s="13">
        <f>'Section Calcs'!$AE$80</f>
        <v>1.9405835974965457</v>
      </c>
      <c r="D190" s="13">
        <f>'Section Calcs'!$AE$83</f>
        <v>6.0524959802283389</v>
      </c>
    </row>
    <row r="191" spans="1:4" x14ac:dyDescent="0.25">
      <c r="A191" t="s">
        <v>381</v>
      </c>
      <c r="B191">
        <f>Inputs!$B$3/20*'Section Calcs'!$A$81</f>
        <v>69.571445988783225</v>
      </c>
      <c r="C191" s="13">
        <f>'Section Calcs'!$AF$80</f>
        <v>2.425729496870682</v>
      </c>
      <c r="D191" s="13">
        <f>'Section Calcs'!$AF$83</f>
        <v>6.4658817401072417</v>
      </c>
    </row>
    <row r="192" spans="1:4" x14ac:dyDescent="0.25">
      <c r="A192" t="s">
        <v>381</v>
      </c>
      <c r="B192">
        <f>Inputs!$B$3/20*'Section Calcs'!$A$81</f>
        <v>69.571445988783225</v>
      </c>
      <c r="C192" s="13">
        <f>'Section Calcs'!$AG$80</f>
        <v>2.9108753962448182</v>
      </c>
      <c r="D192" s="13">
        <f>'Section Calcs'!$AG$83</f>
        <v>6.7401463362568315</v>
      </c>
    </row>
    <row r="193" spans="1:4" x14ac:dyDescent="0.25">
      <c r="A193" t="s">
        <v>381</v>
      </c>
      <c r="B193">
        <f>Inputs!$B$3/20*'Section Calcs'!$A$81</f>
        <v>69.571445988783225</v>
      </c>
      <c r="C193" s="13">
        <f>'Section Calcs'!$AH$80</f>
        <v>3.3960212956189544</v>
      </c>
      <c r="D193" s="13">
        <f>'Section Calcs'!$AH$83</f>
        <v>6.9179856571096687</v>
      </c>
    </row>
    <row r="194" spans="1:4" x14ac:dyDescent="0.25">
      <c r="A194" t="s">
        <v>381</v>
      </c>
      <c r="B194">
        <f>Inputs!$B$3/20*'Section Calcs'!$A$81</f>
        <v>69.571445988783225</v>
      </c>
      <c r="C194" s="13">
        <f>'Section Calcs'!$AI$80</f>
        <v>3.8811671949930915</v>
      </c>
      <c r="D194" s="13">
        <f>'Section Calcs'!$AI$83</f>
        <v>7.0262459945479785</v>
      </c>
    </row>
    <row r="195" spans="1:4" x14ac:dyDescent="0.25">
      <c r="A195" t="s">
        <v>381</v>
      </c>
      <c r="B195">
        <f>Inputs!$B$3/20*'Section Calcs'!$A$81</f>
        <v>69.571445988783225</v>
      </c>
      <c r="C195" s="13">
        <f>'Section Calcs'!$AJ$80</f>
        <v>4.3663130943672277</v>
      </c>
      <c r="D195" s="13">
        <f>'Section Calcs'!$AJ$83</f>
        <v>7.0826540838357497</v>
      </c>
    </row>
    <row r="196" spans="1:4" x14ac:dyDescent="0.25">
      <c r="A196" t="s">
        <v>381</v>
      </c>
      <c r="B196">
        <f>Inputs!$B$3/20*'Section Calcs'!$A$81</f>
        <v>69.571445988783225</v>
      </c>
      <c r="C196" s="13">
        <f>'Section Calcs'!$AK$80</f>
        <v>4.8514589937413639</v>
      </c>
      <c r="D196" s="13">
        <f>'Section Calcs'!$AK$83</f>
        <v>7.0993863285373875</v>
      </c>
    </row>
    <row r="197" spans="1:4" x14ac:dyDescent="0.25">
      <c r="A197" t="s">
        <v>381</v>
      </c>
      <c r="B197">
        <f>Inputs!$B$3/20*'Section Calcs'!$A$81</f>
        <v>69.571445988783225</v>
      </c>
      <c r="C197" s="13">
        <f>'Section Calcs'!$AL$80</f>
        <v>5.8911876791823943</v>
      </c>
      <c r="D197" s="13">
        <f>'Section Calcs'!$AL$83</f>
        <v>7.0505917104956772</v>
      </c>
    </row>
    <row r="198" spans="1:4" x14ac:dyDescent="0.25">
      <c r="A198" t="s">
        <v>381</v>
      </c>
      <c r="B198">
        <f>Inputs!$B$3/20*'Section Calcs'!$A$81</f>
        <v>69.571445988783225</v>
      </c>
      <c r="C198" s="13">
        <f>'Section Calcs'!$AM$80</f>
        <v>6.9309163646234246</v>
      </c>
      <c r="D198" s="13">
        <f>'Section Calcs'!$AM$83</f>
        <v>7.0436921565934139</v>
      </c>
    </row>
    <row r="199" spans="1:4" x14ac:dyDescent="0.25">
      <c r="A199" t="s">
        <v>381</v>
      </c>
      <c r="B199">
        <f>Inputs!$B$3/20*'Section Calcs'!$A$81</f>
        <v>69.571445988783225</v>
      </c>
      <c r="C199" s="13">
        <f>'Section Calcs'!$AN$80</f>
        <v>7.970645050064455</v>
      </c>
      <c r="D199" s="13">
        <f>'Section Calcs'!$AN$83</f>
        <v>7.0786876668305974</v>
      </c>
    </row>
    <row r="200" spans="1:4" x14ac:dyDescent="0.25">
      <c r="A200" t="s">
        <v>381</v>
      </c>
      <c r="B200">
        <f>Inputs!$B$3/20*'Section Calcs'!$A$81</f>
        <v>69.571445988783225</v>
      </c>
      <c r="C200" s="13">
        <f>'Section Calcs'!$AO$80</f>
        <v>9.0103737355054854</v>
      </c>
      <c r="D200" s="13">
        <f>'Section Calcs'!$AO$83</f>
        <v>7.1555782412072286</v>
      </c>
    </row>
    <row r="201" spans="1:4" x14ac:dyDescent="0.25">
      <c r="A201" t="s">
        <v>381</v>
      </c>
      <c r="B201">
        <f>Inputs!$B$3/20*'Section Calcs'!$A$87</f>
        <v>63.246769080712028</v>
      </c>
      <c r="C201" s="13">
        <f>'Section Calcs'!$V$86</f>
        <v>0</v>
      </c>
      <c r="D201" s="13">
        <f>'Section Calcs'!$V$89</f>
        <v>0</v>
      </c>
    </row>
    <row r="202" spans="1:4" x14ac:dyDescent="0.25">
      <c r="A202" t="s">
        <v>381</v>
      </c>
      <c r="B202">
        <f>Inputs!$B$3/20*'Section Calcs'!$A$87</f>
        <v>63.246769080712028</v>
      </c>
      <c r="C202" s="13">
        <f>'Section Calcs'!$W$86</f>
        <v>4.8514589937413644E-2</v>
      </c>
      <c r="D202" s="13">
        <f>'Section Calcs'!$W$89</f>
        <v>0.48722035761400562</v>
      </c>
    </row>
    <row r="203" spans="1:4" x14ac:dyDescent="0.25">
      <c r="A203" t="s">
        <v>381</v>
      </c>
      <c r="B203">
        <f>Inputs!$B$3/20*'Section Calcs'!$A$87</f>
        <v>63.246769080712028</v>
      </c>
      <c r="C203" s="13">
        <f>'Section Calcs'!$X$86</f>
        <v>0.1455437698122409</v>
      </c>
      <c r="D203" s="13">
        <f>'Section Calcs'!$X$89</f>
        <v>1.3209008727909985</v>
      </c>
    </row>
    <row r="204" spans="1:4" x14ac:dyDescent="0.25">
      <c r="A204" t="s">
        <v>381</v>
      </c>
      <c r="B204">
        <f>Inputs!$B$3/20*'Section Calcs'!$A$87</f>
        <v>63.246769080712028</v>
      </c>
      <c r="C204" s="13">
        <f>'Section Calcs'!$Y$86</f>
        <v>0.24257294968706822</v>
      </c>
      <c r="D204" s="13">
        <f>'Section Calcs'!$Y$89</f>
        <v>2.0073208326207683</v>
      </c>
    </row>
    <row r="205" spans="1:4" x14ac:dyDescent="0.25">
      <c r="A205" t="s">
        <v>381</v>
      </c>
      <c r="B205">
        <f>Inputs!$B$3/20*'Section Calcs'!$A$87</f>
        <v>63.246769080712028</v>
      </c>
      <c r="C205" s="13">
        <f>'Section Calcs'!$Z$86</f>
        <v>0.3396021295618955</v>
      </c>
      <c r="D205" s="13">
        <f>'Section Calcs'!$Z$89</f>
        <v>2.5815194313755394</v>
      </c>
    </row>
    <row r="206" spans="1:4" x14ac:dyDescent="0.25">
      <c r="A206" t="s">
        <v>381</v>
      </c>
      <c r="B206">
        <f>Inputs!$B$3/20*'Section Calcs'!$A$87</f>
        <v>63.246769080712028</v>
      </c>
      <c r="C206" s="13">
        <f>'Section Calcs'!$AA$86</f>
        <v>0.48514589937413644</v>
      </c>
      <c r="D206" s="13">
        <f>'Section Calcs'!$AA$89</f>
        <v>3.2846025540624413</v>
      </c>
    </row>
    <row r="207" spans="1:4" x14ac:dyDescent="0.25">
      <c r="A207" t="s">
        <v>381</v>
      </c>
      <c r="B207">
        <f>Inputs!$B$3/20*'Section Calcs'!$A$87</f>
        <v>63.246769080712028</v>
      </c>
      <c r="C207" s="13">
        <f>'Section Calcs'!$AB$86</f>
        <v>0.72771884906120454</v>
      </c>
      <c r="D207" s="13">
        <f>'Section Calcs'!$AB$89</f>
        <v>4.1615189796341889</v>
      </c>
    </row>
    <row r="208" spans="1:4" x14ac:dyDescent="0.25">
      <c r="A208" t="s">
        <v>381</v>
      </c>
      <c r="B208">
        <f>Inputs!$B$3/20*'Section Calcs'!$A$87</f>
        <v>63.246769080712028</v>
      </c>
      <c r="C208" s="13">
        <f>'Section Calcs'!$AC$86</f>
        <v>0.97029179874827287</v>
      </c>
      <c r="D208" s="13">
        <f>'Section Calcs'!$AC$89</f>
        <v>4.795214031363737</v>
      </c>
    </row>
    <row r="209" spans="1:4" x14ac:dyDescent="0.25">
      <c r="A209" t="s">
        <v>381</v>
      </c>
      <c r="B209">
        <f>Inputs!$B$3/20*'Section Calcs'!$A$87</f>
        <v>63.246769080712028</v>
      </c>
      <c r="C209" s="13">
        <f>'Section Calcs'!$AD$86</f>
        <v>1.4554376981224091</v>
      </c>
      <c r="D209" s="13">
        <f>'Section Calcs'!$AD$89</f>
        <v>5.6356020504387363</v>
      </c>
    </row>
    <row r="210" spans="1:4" x14ac:dyDescent="0.25">
      <c r="A210" t="s">
        <v>381</v>
      </c>
      <c r="B210">
        <f>Inputs!$B$3/20*'Section Calcs'!$A$87</f>
        <v>63.246769080712028</v>
      </c>
      <c r="C210" s="13">
        <f>'Section Calcs'!$AE$86</f>
        <v>1.9405835974965457</v>
      </c>
      <c r="D210" s="13">
        <f>'Section Calcs'!$AE$89</f>
        <v>6.1511451292409047</v>
      </c>
    </row>
    <row r="211" spans="1:4" x14ac:dyDescent="0.25">
      <c r="A211" t="s">
        <v>381</v>
      </c>
      <c r="B211">
        <f>Inputs!$B$3/20*'Section Calcs'!$A$87</f>
        <v>63.246769080712028</v>
      </c>
      <c r="C211" s="13">
        <f>'Section Calcs'!$AF$86</f>
        <v>2.425729496870682</v>
      </c>
      <c r="D211" s="13">
        <f>'Section Calcs'!$AF$89</f>
        <v>6.4847025238582088</v>
      </c>
    </row>
    <row r="212" spans="1:4" x14ac:dyDescent="0.25">
      <c r="A212" t="s">
        <v>381</v>
      </c>
      <c r="B212">
        <f>Inputs!$B$3/20*'Section Calcs'!$A$87</f>
        <v>63.246769080712028</v>
      </c>
      <c r="C212" s="13">
        <f>'Section Calcs'!$AG$86</f>
        <v>2.9108753962448182</v>
      </c>
      <c r="D212" s="13">
        <f>'Section Calcs'!$AG$89</f>
        <v>6.7060750503105959</v>
      </c>
    </row>
    <row r="213" spans="1:4" x14ac:dyDescent="0.25">
      <c r="A213" t="s">
        <v>381</v>
      </c>
      <c r="B213">
        <f>Inputs!$B$3/20*'Section Calcs'!$A$87</f>
        <v>63.246769080712028</v>
      </c>
      <c r="C213" s="13">
        <f>'Section Calcs'!$AH$86</f>
        <v>3.3960212956189544</v>
      </c>
      <c r="D213" s="13">
        <f>'Section Calcs'!$AH$89</f>
        <v>6.8534137209162491</v>
      </c>
    </row>
    <row r="214" spans="1:4" x14ac:dyDescent="0.25">
      <c r="A214" t="s">
        <v>381</v>
      </c>
      <c r="B214">
        <f>Inputs!$B$3/20*'Section Calcs'!$A$87</f>
        <v>63.246769080712028</v>
      </c>
      <c r="C214" s="13">
        <f>'Section Calcs'!$AI$86</f>
        <v>3.8811671949930915</v>
      </c>
      <c r="D214" s="13">
        <f>'Section Calcs'!$AI$89</f>
        <v>6.9493320201251318</v>
      </c>
    </row>
    <row r="215" spans="1:4" x14ac:dyDescent="0.25">
      <c r="A215" t="s">
        <v>381</v>
      </c>
      <c r="B215">
        <f>Inputs!$B$3/20*'Section Calcs'!$A$87</f>
        <v>63.246769080712028</v>
      </c>
      <c r="C215" s="13">
        <f>'Section Calcs'!$AJ$86</f>
        <v>4.3663130943672277</v>
      </c>
      <c r="D215" s="13">
        <f>'Section Calcs'!$AJ$89</f>
        <v>7.0080848181571458</v>
      </c>
    </row>
    <row r="216" spans="1:4" x14ac:dyDescent="0.25">
      <c r="A216" t="s">
        <v>381</v>
      </c>
      <c r="B216">
        <f>Inputs!$B$3/20*'Section Calcs'!$A$87</f>
        <v>63.246769080712028</v>
      </c>
      <c r="C216" s="13">
        <f>'Section Calcs'!$AK$86</f>
        <v>4.8514589937413639</v>
      </c>
      <c r="D216" s="13">
        <f>'Section Calcs'!$AK$89</f>
        <v>7.0391036724598841</v>
      </c>
    </row>
    <row r="217" spans="1:4" x14ac:dyDescent="0.25">
      <c r="A217" t="s">
        <v>381</v>
      </c>
      <c r="B217">
        <f>Inputs!$B$3/20*'Section Calcs'!$A$87</f>
        <v>63.246769080712028</v>
      </c>
      <c r="C217" s="13">
        <f>'Section Calcs'!$AL$86</f>
        <v>5.8789014874420875</v>
      </c>
      <c r="D217" s="13">
        <f>'Section Calcs'!$AL$89</f>
        <v>7.0745672028940625</v>
      </c>
    </row>
    <row r="218" spans="1:4" x14ac:dyDescent="0.25">
      <c r="A218" t="s">
        <v>381</v>
      </c>
      <c r="B218">
        <f>Inputs!$B$3/20*'Section Calcs'!$A$87</f>
        <v>63.246769080712028</v>
      </c>
      <c r="C218" s="13">
        <f>'Section Calcs'!$AM$86</f>
        <v>6.9063439811428102</v>
      </c>
      <c r="D218" s="13">
        <f>'Section Calcs'!$AM$89</f>
        <v>7.0983723900706526</v>
      </c>
    </row>
    <row r="219" spans="1:4" x14ac:dyDescent="0.25">
      <c r="A219" t="s">
        <v>381</v>
      </c>
      <c r="B219">
        <f>Inputs!$B$3/20*'Section Calcs'!$A$87</f>
        <v>63.246769080712028</v>
      </c>
      <c r="C219" s="13">
        <f>'Section Calcs'!$AN$86</f>
        <v>7.9337864748435329</v>
      </c>
      <c r="D219" s="13">
        <f>'Section Calcs'!$AN$89</f>
        <v>7.1105192339896552</v>
      </c>
    </row>
    <row r="220" spans="1:4" x14ac:dyDescent="0.25">
      <c r="A220" t="s">
        <v>381</v>
      </c>
      <c r="B220">
        <f>Inputs!$B$3/20*'Section Calcs'!$A$87</f>
        <v>63.246769080712028</v>
      </c>
      <c r="C220" s="13">
        <f>'Section Calcs'!$AO$86</f>
        <v>8.9612289685442565</v>
      </c>
      <c r="D220" s="13">
        <f>'Section Calcs'!$AO$89</f>
        <v>7.1110077346510696</v>
      </c>
    </row>
    <row r="221" spans="1:4" x14ac:dyDescent="0.25">
      <c r="A221" t="s">
        <v>381</v>
      </c>
      <c r="B221">
        <f>Inputs!$B$3/20*'Section Calcs'!$A$93</f>
        <v>56.922092172640824</v>
      </c>
      <c r="C221" s="13">
        <f>'Section Calcs'!$V$92</f>
        <v>0</v>
      </c>
      <c r="D221" s="13">
        <f>'Section Calcs'!$V$95</f>
        <v>0</v>
      </c>
    </row>
    <row r="222" spans="1:4" x14ac:dyDescent="0.25">
      <c r="A222" t="s">
        <v>381</v>
      </c>
      <c r="B222">
        <f>Inputs!$B$3/20*'Section Calcs'!$A$93</f>
        <v>56.922092172640824</v>
      </c>
      <c r="C222" s="13">
        <f>'Section Calcs'!$W$92</f>
        <v>4.8514589937413644E-2</v>
      </c>
      <c r="D222" s="13">
        <f>'Section Calcs'!$W$95</f>
        <v>0.70571449868628622</v>
      </c>
    </row>
    <row r="223" spans="1:4" x14ac:dyDescent="0.25">
      <c r="A223" t="s">
        <v>381</v>
      </c>
      <c r="B223">
        <f>Inputs!$B$3/20*'Section Calcs'!$A$93</f>
        <v>56.922092172640824</v>
      </c>
      <c r="C223" s="13">
        <f>'Section Calcs'!$X$92</f>
        <v>0.1455437698122409</v>
      </c>
      <c r="D223" s="13">
        <f>'Section Calcs'!$X$95</f>
        <v>1.772966030232586</v>
      </c>
    </row>
    <row r="224" spans="1:4" x14ac:dyDescent="0.25">
      <c r="A224" t="s">
        <v>381</v>
      </c>
      <c r="B224">
        <f>Inputs!$B$3/20*'Section Calcs'!$A$93</f>
        <v>56.922092172640824</v>
      </c>
      <c r="C224" s="13">
        <f>'Section Calcs'!$Y$92</f>
        <v>0.24257294968706822</v>
      </c>
      <c r="D224" s="13">
        <f>'Section Calcs'!$Y$95</f>
        <v>2.5422319141929957</v>
      </c>
    </row>
    <row r="225" spans="1:4" x14ac:dyDescent="0.25">
      <c r="A225" t="s">
        <v>381</v>
      </c>
      <c r="B225">
        <f>Inputs!$B$3/20*'Section Calcs'!$A$93</f>
        <v>56.922092172640824</v>
      </c>
      <c r="C225" s="13">
        <f>'Section Calcs'!$Z$92</f>
        <v>0.3396021295618955</v>
      </c>
      <c r="D225" s="13">
        <f>'Section Calcs'!$Z$95</f>
        <v>3.1234770613226468</v>
      </c>
    </row>
    <row r="226" spans="1:4" x14ac:dyDescent="0.25">
      <c r="A226" t="s">
        <v>381</v>
      </c>
      <c r="B226">
        <f>Inputs!$B$3/20*'Section Calcs'!$A$93</f>
        <v>56.922092172640824</v>
      </c>
      <c r="C226" s="13">
        <f>'Section Calcs'!$AA$92</f>
        <v>0.48514589937413644</v>
      </c>
      <c r="D226" s="13">
        <f>'Section Calcs'!$AA$95</f>
        <v>3.770942288355438</v>
      </c>
    </row>
    <row r="227" spans="1:4" x14ac:dyDescent="0.25">
      <c r="A227" t="s">
        <v>381</v>
      </c>
      <c r="B227">
        <f>Inputs!$B$3/20*'Section Calcs'!$A$93</f>
        <v>56.922092172640824</v>
      </c>
      <c r="C227" s="13">
        <f>'Section Calcs'!$AB$92</f>
        <v>0.72771884906120454</v>
      </c>
      <c r="D227" s="13">
        <f>'Section Calcs'!$AB$95</f>
        <v>4.4983189476229501</v>
      </c>
    </row>
    <row r="228" spans="1:4" x14ac:dyDescent="0.25">
      <c r="A228" t="s">
        <v>381</v>
      </c>
      <c r="B228">
        <f>Inputs!$B$3/20*'Section Calcs'!$A$93</f>
        <v>56.922092172640824</v>
      </c>
      <c r="C228" s="13">
        <f>'Section Calcs'!$AC$92</f>
        <v>0.97029179874827287</v>
      </c>
      <c r="D228" s="13">
        <f>'Section Calcs'!$AC$95</f>
        <v>4.981377470395727</v>
      </c>
    </row>
    <row r="229" spans="1:4" x14ac:dyDescent="0.25">
      <c r="A229" t="s">
        <v>381</v>
      </c>
      <c r="B229">
        <f>Inputs!$B$3/20*'Section Calcs'!$A$93</f>
        <v>56.922092172640824</v>
      </c>
      <c r="C229" s="13">
        <f>'Section Calcs'!$AD$92</f>
        <v>1.4554376981224091</v>
      </c>
      <c r="D229" s="13">
        <f>'Section Calcs'!$AD$95</f>
        <v>5.5879349254714477</v>
      </c>
    </row>
    <row r="230" spans="1:4" x14ac:dyDescent="0.25">
      <c r="A230" t="s">
        <v>381</v>
      </c>
      <c r="B230">
        <f>Inputs!$B$3/20*'Section Calcs'!$A$93</f>
        <v>56.922092172640824</v>
      </c>
      <c r="C230" s="13">
        <f>'Section Calcs'!$AE$92</f>
        <v>1.9405835974965457</v>
      </c>
      <c r="D230" s="13">
        <f>'Section Calcs'!$AE$95</f>
        <v>5.958392126388631</v>
      </c>
    </row>
    <row r="231" spans="1:4" x14ac:dyDescent="0.25">
      <c r="A231" t="s">
        <v>381</v>
      </c>
      <c r="B231">
        <f>Inputs!$B$3/20*'Section Calcs'!$A$93</f>
        <v>56.922092172640824</v>
      </c>
      <c r="C231" s="13">
        <f>'Section Calcs'!$AF$92</f>
        <v>2.425729496870682</v>
      </c>
      <c r="D231" s="13">
        <f>'Section Calcs'!$AF$95</f>
        <v>6.2122754524313493</v>
      </c>
    </row>
    <row r="232" spans="1:4" x14ac:dyDescent="0.25">
      <c r="A232" t="s">
        <v>381</v>
      </c>
      <c r="B232">
        <f>Inputs!$B$3/20*'Section Calcs'!$A$93</f>
        <v>56.922092172640824</v>
      </c>
      <c r="C232" s="13">
        <f>'Section Calcs'!$AG$92</f>
        <v>2.9108753962448182</v>
      </c>
      <c r="D232" s="13">
        <f>'Section Calcs'!$AG$95</f>
        <v>6.4000796958574666</v>
      </c>
    </row>
    <row r="233" spans="1:4" x14ac:dyDescent="0.25">
      <c r="A233" t="s">
        <v>381</v>
      </c>
      <c r="B233">
        <f>Inputs!$B$3/20*'Section Calcs'!$A$93</f>
        <v>56.922092172640824</v>
      </c>
      <c r="C233" s="13">
        <f>'Section Calcs'!$AH$92</f>
        <v>3.3960212956189544</v>
      </c>
      <c r="D233" s="13">
        <f>'Section Calcs'!$AH$95</f>
        <v>6.546816196096664</v>
      </c>
    </row>
    <row r="234" spans="1:4" x14ac:dyDescent="0.25">
      <c r="A234" t="s">
        <v>381</v>
      </c>
      <c r="B234">
        <f>Inputs!$B$3/20*'Section Calcs'!$A$93</f>
        <v>56.922092172640824</v>
      </c>
      <c r="C234" s="13">
        <f>'Section Calcs'!$AI$92</f>
        <v>3.8811671949930915</v>
      </c>
      <c r="D234" s="13">
        <f>'Section Calcs'!$AI$95</f>
        <v>6.6662878525577449</v>
      </c>
    </row>
    <row r="235" spans="1:4" x14ac:dyDescent="0.25">
      <c r="A235" t="s">
        <v>381</v>
      </c>
      <c r="B235">
        <f>Inputs!$B$3/20*'Section Calcs'!$A$93</f>
        <v>56.922092172640824</v>
      </c>
      <c r="C235" s="13">
        <f>'Section Calcs'!$AJ$92</f>
        <v>4.3663130943672277</v>
      </c>
      <c r="D235" s="13">
        <f>'Section Calcs'!$AJ$95</f>
        <v>6.7667351848195789</v>
      </c>
    </row>
    <row r="236" spans="1:4" x14ac:dyDescent="0.25">
      <c r="A236" t="s">
        <v>381</v>
      </c>
      <c r="B236">
        <f>Inputs!$B$3/20*'Section Calcs'!$A$93</f>
        <v>56.922092172640824</v>
      </c>
      <c r="C236" s="13">
        <f>'Section Calcs'!$AK$92</f>
        <v>4.8514589937413639</v>
      </c>
      <c r="D236" s="13">
        <f>'Section Calcs'!$AK$95</f>
        <v>6.8533818357117688</v>
      </c>
    </row>
    <row r="237" spans="1:4" x14ac:dyDescent="0.25">
      <c r="A237" t="s">
        <v>381</v>
      </c>
      <c r="B237">
        <f>Inputs!$B$3/20*'Section Calcs'!$A$93</f>
        <v>56.922092172640824</v>
      </c>
      <c r="C237" s="13">
        <f>'Section Calcs'!$AL$92</f>
        <v>5.8786038578464002</v>
      </c>
      <c r="D237" s="13">
        <f>'Section Calcs'!$AL$95</f>
        <v>6.9915309103973096</v>
      </c>
    </row>
    <row r="238" spans="1:4" x14ac:dyDescent="0.25">
      <c r="A238" t="s">
        <v>381</v>
      </c>
      <c r="B238">
        <f>Inputs!$B$3/20*'Section Calcs'!$A$93</f>
        <v>56.922092172640824</v>
      </c>
      <c r="C238" s="13">
        <f>'Section Calcs'!$AM$92</f>
        <v>6.9057487219514373</v>
      </c>
      <c r="D238" s="13">
        <f>'Section Calcs'!$AM$95</f>
        <v>7.0629538318767464</v>
      </c>
    </row>
    <row r="239" spans="1:4" x14ac:dyDescent="0.25">
      <c r="A239" t="s">
        <v>381</v>
      </c>
      <c r="B239">
        <f>Inputs!$B$3/20*'Section Calcs'!$A$93</f>
        <v>56.922092172640824</v>
      </c>
      <c r="C239" s="13">
        <f>'Section Calcs'!$AN$92</f>
        <v>7.9328935860564744</v>
      </c>
      <c r="D239" s="13">
        <f>'Section Calcs'!$AN$95</f>
        <v>7.0676506001500794</v>
      </c>
    </row>
    <row r="240" spans="1:4" x14ac:dyDescent="0.25">
      <c r="A240" t="s">
        <v>381</v>
      </c>
      <c r="B240">
        <f>Inputs!$B$3/20*'Section Calcs'!$A$93</f>
        <v>56.922092172640824</v>
      </c>
      <c r="C240" s="13">
        <f>'Section Calcs'!$AO$92</f>
        <v>8.9600384501615107</v>
      </c>
      <c r="D240" s="13">
        <f>'Section Calcs'!$AO$95</f>
        <v>7.0056212152173085</v>
      </c>
    </row>
    <row r="241" spans="1:4" x14ac:dyDescent="0.25">
      <c r="A241" t="s">
        <v>381</v>
      </c>
      <c r="B241">
        <f>Inputs!$B$3/20*'Section Calcs'!$A$98</f>
        <v>50.597415264569619</v>
      </c>
      <c r="C241" s="13">
        <f>'Section Calcs'!$V$97</f>
        <v>0</v>
      </c>
      <c r="D241" s="13">
        <f>'Section Calcs'!$V$100</f>
        <v>0</v>
      </c>
    </row>
    <row r="242" spans="1:4" x14ac:dyDescent="0.25">
      <c r="A242" t="s">
        <v>381</v>
      </c>
      <c r="B242">
        <f>Inputs!$B$3/20*'Section Calcs'!$A$98</f>
        <v>50.597415264569619</v>
      </c>
      <c r="C242" s="13">
        <f>'Section Calcs'!$W$97</f>
        <v>4.8514589937413644E-2</v>
      </c>
      <c r="D242" s="13">
        <f>'Section Calcs'!$W$100</f>
        <v>1.1109664277450284</v>
      </c>
    </row>
    <row r="243" spans="1:4" x14ac:dyDescent="0.25">
      <c r="A243" t="s">
        <v>381</v>
      </c>
      <c r="B243">
        <f>Inputs!$B$3/20*'Section Calcs'!$A$98</f>
        <v>50.597415264569619</v>
      </c>
      <c r="C243" s="13">
        <f>'Section Calcs'!$X$97</f>
        <v>0.1455437698122409</v>
      </c>
      <c r="D243" s="13">
        <f>'Section Calcs'!$X$100</f>
        <v>2.3978280483407017</v>
      </c>
    </row>
    <row r="244" spans="1:4" x14ac:dyDescent="0.25">
      <c r="A244" t="s">
        <v>381</v>
      </c>
      <c r="B244">
        <f>Inputs!$B$3/20*'Section Calcs'!$A$98</f>
        <v>50.597415264569619</v>
      </c>
      <c r="C244" s="13">
        <f>'Section Calcs'!$Y$97</f>
        <v>0.24257294968706822</v>
      </c>
      <c r="D244" s="13">
        <f>'Section Calcs'!$Y$100</f>
        <v>3.126638937295982</v>
      </c>
    </row>
    <row r="245" spans="1:4" x14ac:dyDescent="0.25">
      <c r="A245" t="s">
        <v>381</v>
      </c>
      <c r="B245">
        <f>Inputs!$B$3/20*'Section Calcs'!$A$98</f>
        <v>50.597415264569619</v>
      </c>
      <c r="C245" s="13">
        <f>'Section Calcs'!$Z$97</f>
        <v>0.3396021295618955</v>
      </c>
      <c r="D245" s="13">
        <f>'Section Calcs'!$Z$100</f>
        <v>3.6003742721758103</v>
      </c>
    </row>
    <row r="246" spans="1:4" x14ac:dyDescent="0.25">
      <c r="A246" t="s">
        <v>381</v>
      </c>
      <c r="B246">
        <f>Inputs!$B$3/20*'Section Calcs'!$A$98</f>
        <v>50.597415264569619</v>
      </c>
      <c r="C246" s="13">
        <f>'Section Calcs'!$AA$97</f>
        <v>0.48514589937413644</v>
      </c>
      <c r="D246" s="13">
        <f>'Section Calcs'!$AA$100</f>
        <v>4.0709689406373499</v>
      </c>
    </row>
    <row r="247" spans="1:4" x14ac:dyDescent="0.25">
      <c r="A247" t="s">
        <v>381</v>
      </c>
      <c r="B247">
        <f>Inputs!$B$3/20*'Section Calcs'!$A$98</f>
        <v>50.597415264569619</v>
      </c>
      <c r="C247" s="13">
        <f>'Section Calcs'!$AB$97</f>
        <v>0.72771884906120454</v>
      </c>
      <c r="D247" s="13">
        <f>'Section Calcs'!$AB$100</f>
        <v>4.5512158841397161</v>
      </c>
    </row>
    <row r="248" spans="1:4" x14ac:dyDescent="0.25">
      <c r="A248" t="s">
        <v>381</v>
      </c>
      <c r="B248">
        <f>Inputs!$B$3/20*'Section Calcs'!$A$98</f>
        <v>50.597415264569619</v>
      </c>
      <c r="C248" s="13">
        <f>'Section Calcs'!$AC$97</f>
        <v>0.97029179874827287</v>
      </c>
      <c r="D248" s="13">
        <f>'Section Calcs'!$AC$100</f>
        <v>4.8568116340061893</v>
      </c>
    </row>
    <row r="249" spans="1:4" x14ac:dyDescent="0.25">
      <c r="A249" t="s">
        <v>381</v>
      </c>
      <c r="B249">
        <f>Inputs!$B$3/20*'Section Calcs'!$A$98</f>
        <v>50.597415264569619</v>
      </c>
      <c r="C249" s="13">
        <f>'Section Calcs'!$AD$97</f>
        <v>1.4554376981224091</v>
      </c>
      <c r="D249" s="13">
        <f>'Section Calcs'!$AD$100</f>
        <v>5.2517921723609415</v>
      </c>
    </row>
    <row r="250" spans="1:4" x14ac:dyDescent="0.25">
      <c r="A250" t="s">
        <v>381</v>
      </c>
      <c r="B250">
        <f>Inputs!$B$3/20*'Section Calcs'!$A$98</f>
        <v>50.597415264569619</v>
      </c>
      <c r="C250" s="13">
        <f>'Section Calcs'!$AE$97</f>
        <v>1.9405835974965457</v>
      </c>
      <c r="D250" s="13">
        <f>'Section Calcs'!$AE$100</f>
        <v>5.522096435965568</v>
      </c>
    </row>
    <row r="251" spans="1:4" x14ac:dyDescent="0.25">
      <c r="A251" t="s">
        <v>381</v>
      </c>
      <c r="B251">
        <f>Inputs!$B$3/20*'Section Calcs'!$A$98</f>
        <v>50.597415264569619</v>
      </c>
      <c r="C251" s="13">
        <f>'Section Calcs'!$AF$97</f>
        <v>2.425729496870682</v>
      </c>
      <c r="D251" s="13">
        <f>'Section Calcs'!$AF$100</f>
        <v>5.7369231358962072</v>
      </c>
    </row>
    <row r="252" spans="1:4" x14ac:dyDescent="0.25">
      <c r="A252" t="s">
        <v>381</v>
      </c>
      <c r="B252">
        <f>Inputs!$B$3/20*'Section Calcs'!$A$98</f>
        <v>50.597415264569619</v>
      </c>
      <c r="C252" s="13">
        <f>'Section Calcs'!$AG$97</f>
        <v>2.9108753962448182</v>
      </c>
      <c r="D252" s="13">
        <f>'Section Calcs'!$AG$100</f>
        <v>5.922256505490636</v>
      </c>
    </row>
    <row r="253" spans="1:4" x14ac:dyDescent="0.25">
      <c r="A253" t="s">
        <v>381</v>
      </c>
      <c r="B253">
        <f>Inputs!$B$3/20*'Section Calcs'!$A$98</f>
        <v>50.597415264569619</v>
      </c>
      <c r="C253" s="13">
        <f>'Section Calcs'!$AH$97</f>
        <v>3.3960212956189544</v>
      </c>
      <c r="D253" s="13">
        <f>'Section Calcs'!$AH$100</f>
        <v>6.0900449985542737</v>
      </c>
    </row>
    <row r="254" spans="1:4" x14ac:dyDescent="0.25">
      <c r="A254" t="s">
        <v>381</v>
      </c>
      <c r="B254">
        <f>Inputs!$B$3/20*'Section Calcs'!$A$98</f>
        <v>50.597415264569619</v>
      </c>
      <c r="C254" s="13">
        <f>'Section Calcs'!$AI$97</f>
        <v>3.8811671949930915</v>
      </c>
      <c r="D254" s="13">
        <f>'Section Calcs'!$AI$100</f>
        <v>6.2465508094426534</v>
      </c>
    </row>
    <row r="255" spans="1:4" x14ac:dyDescent="0.25">
      <c r="A255" t="s">
        <v>381</v>
      </c>
      <c r="B255">
        <f>Inputs!$B$3/20*'Section Calcs'!$A$98</f>
        <v>50.597415264569619</v>
      </c>
      <c r="C255" s="13">
        <f>'Section Calcs'!$AJ$97</f>
        <v>4.3663130943672277</v>
      </c>
      <c r="D255" s="13">
        <f>'Section Calcs'!$AJ$100</f>
        <v>6.3953728256965894</v>
      </c>
    </row>
    <row r="256" spans="1:4" x14ac:dyDescent="0.25">
      <c r="A256" t="s">
        <v>381</v>
      </c>
      <c r="B256">
        <f>Inputs!$B$3/20*'Section Calcs'!$A$98</f>
        <v>50.597415264569619</v>
      </c>
      <c r="C256" s="13">
        <f>'Section Calcs'!$AK$97</f>
        <v>4.8514589937413639</v>
      </c>
      <c r="D256" s="13">
        <f>'Section Calcs'!$AK$100</f>
        <v>6.538726431309354</v>
      </c>
    </row>
    <row r="257" spans="1:4" x14ac:dyDescent="0.25">
      <c r="A257" t="s">
        <v>381</v>
      </c>
      <c r="B257">
        <f>Inputs!$B$3/20*'Section Calcs'!$A$98</f>
        <v>50.597415264569619</v>
      </c>
      <c r="C257" s="13">
        <f>'Section Calcs'!$AL$97</f>
        <v>5.8847451797176085</v>
      </c>
      <c r="D257" s="13">
        <f>'Section Calcs'!$AL$100</f>
        <v>6.7827656650744181</v>
      </c>
    </row>
    <row r="258" spans="1:4" x14ac:dyDescent="0.25">
      <c r="A258" t="s">
        <v>381</v>
      </c>
      <c r="B258">
        <f>Inputs!$B$3/20*'Section Calcs'!$A$98</f>
        <v>50.597415264569619</v>
      </c>
      <c r="C258" s="13">
        <f>'Section Calcs'!$AM$97</f>
        <v>6.9180313656938521</v>
      </c>
      <c r="D258" s="13">
        <f>'Section Calcs'!$AM$100</f>
        <v>6.9136492782057637</v>
      </c>
    </row>
    <row r="259" spans="1:4" x14ac:dyDescent="0.25">
      <c r="A259" t="s">
        <v>381</v>
      </c>
      <c r="B259">
        <f>Inputs!$B$3/20*'Section Calcs'!$A$98</f>
        <v>50.597415264569619</v>
      </c>
      <c r="C259" s="13">
        <f>'Section Calcs'!$AN$97</f>
        <v>7.9513175516700958</v>
      </c>
      <c r="D259" s="13">
        <f>'Section Calcs'!$AN$100</f>
        <v>6.931377270703388</v>
      </c>
    </row>
    <row r="260" spans="1:4" x14ac:dyDescent="0.25">
      <c r="A260" t="s">
        <v>381</v>
      </c>
      <c r="B260">
        <f>Inputs!$B$3/20*'Section Calcs'!$A$98</f>
        <v>50.597415264569619</v>
      </c>
      <c r="C260" s="13">
        <f>'Section Calcs'!$AO$97</f>
        <v>8.9846037376463403</v>
      </c>
      <c r="D260" s="13">
        <f>'Section Calcs'!$AO$100</f>
        <v>6.8359496425672939</v>
      </c>
    </row>
    <row r="261" spans="1:4" x14ac:dyDescent="0.25">
      <c r="A261" t="s">
        <v>381</v>
      </c>
      <c r="B261">
        <f>Inputs!$B$3/20*'Section Calcs'!$A$103</f>
        <v>44.272738356498415</v>
      </c>
      <c r="C261" s="13">
        <f>'Section Calcs'!$V$102</f>
        <v>0</v>
      </c>
      <c r="D261" s="13">
        <f>'Section Calcs'!$V$105</f>
        <v>0</v>
      </c>
    </row>
    <row r="262" spans="1:4" x14ac:dyDescent="0.25">
      <c r="A262" t="s">
        <v>381</v>
      </c>
      <c r="B262">
        <f>Inputs!$B$3/20*'Section Calcs'!$A$103</f>
        <v>44.272738356498415</v>
      </c>
      <c r="C262" s="13">
        <f>'Section Calcs'!$W$102</f>
        <v>4.8514589937413644E-2</v>
      </c>
      <c r="D262" s="13">
        <f>'Section Calcs'!$W$105</f>
        <v>1.6373124659651261</v>
      </c>
    </row>
    <row r="263" spans="1:4" x14ac:dyDescent="0.25">
      <c r="A263" t="s">
        <v>381</v>
      </c>
      <c r="B263">
        <f>Inputs!$B$3/20*'Section Calcs'!$A$103</f>
        <v>44.272738356498415</v>
      </c>
      <c r="C263" s="13">
        <f>'Section Calcs'!$X$102</f>
        <v>0.1455437698122409</v>
      </c>
      <c r="D263" s="13">
        <f>'Section Calcs'!$X$105</f>
        <v>2.8421088674158774</v>
      </c>
    </row>
    <row r="264" spans="1:4" x14ac:dyDescent="0.25">
      <c r="A264" t="s">
        <v>381</v>
      </c>
      <c r="B264">
        <f>Inputs!$B$3/20*'Section Calcs'!$A$103</f>
        <v>44.272738356498415</v>
      </c>
      <c r="C264" s="13">
        <f>'Section Calcs'!$Y$102</f>
        <v>0.24257294968706822</v>
      </c>
      <c r="D264" s="13">
        <f>'Section Calcs'!$Y$105</f>
        <v>3.3485601983035407</v>
      </c>
    </row>
    <row r="265" spans="1:4" x14ac:dyDescent="0.25">
      <c r="A265" t="s">
        <v>381</v>
      </c>
      <c r="B265">
        <f>Inputs!$B$3/20*'Section Calcs'!$A$103</f>
        <v>44.272738356498415</v>
      </c>
      <c r="C265" s="13">
        <f>'Section Calcs'!$Z$102</f>
        <v>0.3396021295618955</v>
      </c>
      <c r="D265" s="13">
        <f>'Section Calcs'!$Z$105</f>
        <v>3.638625023748765</v>
      </c>
    </row>
    <row r="266" spans="1:4" x14ac:dyDescent="0.25">
      <c r="A266" t="s">
        <v>381</v>
      </c>
      <c r="B266">
        <f>Inputs!$B$3/20*'Section Calcs'!$A$103</f>
        <v>44.272738356498415</v>
      </c>
      <c r="C266" s="13">
        <f>'Section Calcs'!$AA$102</f>
        <v>0.48514589937413644</v>
      </c>
      <c r="D266" s="13">
        <f>'Section Calcs'!$AA$105</f>
        <v>3.9108667157510117</v>
      </c>
    </row>
    <row r="267" spans="1:4" x14ac:dyDescent="0.25">
      <c r="A267" t="s">
        <v>381</v>
      </c>
      <c r="B267">
        <f>Inputs!$B$3/20*'Section Calcs'!$A$103</f>
        <v>44.272738356498415</v>
      </c>
      <c r="C267" s="13">
        <f>'Section Calcs'!$AB$102</f>
        <v>0.72771884906120454</v>
      </c>
      <c r="D267" s="13">
        <f>'Section Calcs'!$AB$105</f>
        <v>4.1904661539225572</v>
      </c>
    </row>
    <row r="268" spans="1:4" x14ac:dyDescent="0.25">
      <c r="A268" t="s">
        <v>381</v>
      </c>
      <c r="B268">
        <f>Inputs!$B$3/20*'Section Calcs'!$A$103</f>
        <v>44.272738356498415</v>
      </c>
      <c r="C268" s="13">
        <f>'Section Calcs'!$AC$102</f>
        <v>0.97029179874827287</v>
      </c>
      <c r="D268" s="13">
        <f>'Section Calcs'!$AC$105</f>
        <v>4.3828336468552376</v>
      </c>
    </row>
    <row r="269" spans="1:4" x14ac:dyDescent="0.25">
      <c r="A269" t="s">
        <v>381</v>
      </c>
      <c r="B269">
        <f>Inputs!$B$3/20*'Section Calcs'!$A$103</f>
        <v>44.272738356498415</v>
      </c>
      <c r="C269" s="13">
        <f>'Section Calcs'!$AD$102</f>
        <v>1.4554376981224091</v>
      </c>
      <c r="D269" s="13">
        <f>'Section Calcs'!$AD$105</f>
        <v>4.6710126725317087</v>
      </c>
    </row>
    <row r="270" spans="1:4" x14ac:dyDescent="0.25">
      <c r="A270" t="s">
        <v>381</v>
      </c>
      <c r="B270">
        <f>Inputs!$B$3/20*'Section Calcs'!$A$103</f>
        <v>44.272738356498415</v>
      </c>
      <c r="C270" s="13">
        <f>'Section Calcs'!$AE$102</f>
        <v>1.9405835974965457</v>
      </c>
      <c r="D270" s="13">
        <f>'Section Calcs'!$AE$105</f>
        <v>4.9076448438686526</v>
      </c>
    </row>
    <row r="271" spans="1:4" x14ac:dyDescent="0.25">
      <c r="A271" t="s">
        <v>381</v>
      </c>
      <c r="B271">
        <f>Inputs!$B$3/20*'Section Calcs'!$A$103</f>
        <v>44.272738356498415</v>
      </c>
      <c r="C271" s="13">
        <f>'Section Calcs'!$AF$102</f>
        <v>2.425729496870682</v>
      </c>
      <c r="D271" s="13">
        <f>'Section Calcs'!$AF$105</f>
        <v>5.1226448594909533</v>
      </c>
    </row>
    <row r="272" spans="1:4" x14ac:dyDescent="0.25">
      <c r="A272" t="s">
        <v>381</v>
      </c>
      <c r="B272">
        <f>Inputs!$B$3/20*'Section Calcs'!$A$103</f>
        <v>44.272738356498415</v>
      </c>
      <c r="C272" s="13">
        <f>'Section Calcs'!$AG$102</f>
        <v>2.9108753962448182</v>
      </c>
      <c r="D272" s="13">
        <f>'Section Calcs'!$AG$105</f>
        <v>5.3265318356738272</v>
      </c>
    </row>
    <row r="273" spans="1:4" x14ac:dyDescent="0.25">
      <c r="A273" t="s">
        <v>381</v>
      </c>
      <c r="B273">
        <f>Inputs!$B$3/20*'Section Calcs'!$A$103</f>
        <v>44.272738356498415</v>
      </c>
      <c r="C273" s="13">
        <f>'Section Calcs'!$AH$102</f>
        <v>3.3960212956189544</v>
      </c>
      <c r="D273" s="13">
        <f>'Section Calcs'!$AH$105</f>
        <v>5.5239559792605188</v>
      </c>
    </row>
    <row r="274" spans="1:4" x14ac:dyDescent="0.25">
      <c r="A274" t="s">
        <v>381</v>
      </c>
      <c r="B274">
        <f>Inputs!$B$3/20*'Section Calcs'!$A$103</f>
        <v>44.272738356498415</v>
      </c>
      <c r="C274" s="13">
        <f>'Section Calcs'!$AI$102</f>
        <v>3.8811671949930915</v>
      </c>
      <c r="D274" s="13">
        <f>'Section Calcs'!$AI$105</f>
        <v>5.7172906023515528</v>
      </c>
    </row>
    <row r="275" spans="1:4" x14ac:dyDescent="0.25">
      <c r="A275" t="s">
        <v>381</v>
      </c>
      <c r="B275">
        <f>Inputs!$B$3/20*'Section Calcs'!$A$103</f>
        <v>44.272738356498415</v>
      </c>
      <c r="C275" s="13">
        <f>'Section Calcs'!$AJ$102</f>
        <v>4.3663130943672277</v>
      </c>
      <c r="D275" s="13">
        <f>'Section Calcs'!$AJ$105</f>
        <v>5.9078736968502445</v>
      </c>
    </row>
    <row r="276" spans="1:4" x14ac:dyDescent="0.25">
      <c r="A276" t="s">
        <v>381</v>
      </c>
      <c r="B276">
        <f>Inputs!$B$3/20*'Section Calcs'!$A$103</f>
        <v>44.272738356498415</v>
      </c>
      <c r="C276" s="13">
        <f>'Section Calcs'!$AK$102</f>
        <v>4.8514589937413639</v>
      </c>
      <c r="D276" s="13">
        <f>'Section Calcs'!$AK$105</f>
        <v>6.0965169722775912</v>
      </c>
    </row>
    <row r="277" spans="1:4" x14ac:dyDescent="0.25">
      <c r="A277" t="s">
        <v>381</v>
      </c>
      <c r="B277">
        <f>Inputs!$B$3/20*'Section Calcs'!$A$103</f>
        <v>44.272738356498415</v>
      </c>
      <c r="C277" s="13">
        <f>'Section Calcs'!$AL$102</f>
        <v>5.9036065540950489</v>
      </c>
      <c r="D277" s="13">
        <f>'Section Calcs'!$AL$105</f>
        <v>6.4331605303982027</v>
      </c>
    </row>
    <row r="278" spans="1:4" x14ac:dyDescent="0.25">
      <c r="A278" t="s">
        <v>381</v>
      </c>
      <c r="B278">
        <f>Inputs!$B$3/20*'Section Calcs'!$A$103</f>
        <v>44.272738356498415</v>
      </c>
      <c r="C278" s="13">
        <f>'Section Calcs'!$AM$102</f>
        <v>6.9557541144487338</v>
      </c>
      <c r="D278" s="13">
        <f>'Section Calcs'!$AM$105</f>
        <v>6.6282403633611731</v>
      </c>
    </row>
    <row r="279" spans="1:4" x14ac:dyDescent="0.25">
      <c r="A279" t="s">
        <v>381</v>
      </c>
      <c r="B279">
        <f>Inputs!$B$3/20*'Section Calcs'!$A$103</f>
        <v>44.272738356498415</v>
      </c>
      <c r="C279" s="13">
        <f>'Section Calcs'!$AN$102</f>
        <v>8.0079016748024188</v>
      </c>
      <c r="D279" s="13">
        <f>'Section Calcs'!$AN$105</f>
        <v>6.6817564711665014</v>
      </c>
    </row>
    <row r="280" spans="1:4" x14ac:dyDescent="0.25">
      <c r="A280" t="s">
        <v>381</v>
      </c>
      <c r="B280">
        <f>Inputs!$B$3/20*'Section Calcs'!$A$103</f>
        <v>44.272738356498415</v>
      </c>
      <c r="C280" s="13">
        <f>'Section Calcs'!$AO$102</f>
        <v>9.0600492351561037</v>
      </c>
      <c r="D280" s="13">
        <f>'Section Calcs'!$AO$105</f>
        <v>6.5937088538141868</v>
      </c>
    </row>
    <row r="281" spans="1:4" x14ac:dyDescent="0.25">
      <c r="A281" t="s">
        <v>381</v>
      </c>
      <c r="B281">
        <f>Inputs!$B$3/20*'Section Calcs'!$A$108</f>
        <v>37.948061448427211</v>
      </c>
      <c r="C281" s="13">
        <f>'Section Calcs'!$V$107</f>
        <v>0</v>
      </c>
      <c r="D281" s="13">
        <f>'Section Calcs'!$V$110</f>
        <v>0</v>
      </c>
    </row>
    <row r="282" spans="1:4" x14ac:dyDescent="0.25">
      <c r="A282" t="s">
        <v>381</v>
      </c>
      <c r="B282">
        <f>Inputs!$B$3/20*'Section Calcs'!$A$108</f>
        <v>37.948061448427211</v>
      </c>
      <c r="C282" s="13">
        <f>'Section Calcs'!$W$107</f>
        <v>4.8514589937413644E-2</v>
      </c>
      <c r="D282" s="13">
        <f>'Section Calcs'!$W$110</f>
        <v>1.8094162004452263</v>
      </c>
    </row>
    <row r="283" spans="1:4" x14ac:dyDescent="0.25">
      <c r="A283" t="s">
        <v>381</v>
      </c>
      <c r="B283">
        <f>Inputs!$B$3/20*'Section Calcs'!$A$108</f>
        <v>37.948061448427211</v>
      </c>
      <c r="C283" s="13">
        <f>'Section Calcs'!$X$107</f>
        <v>0.1455437698122409</v>
      </c>
      <c r="D283" s="13">
        <f>'Section Calcs'!$X$110</f>
        <v>2.7097958714154724</v>
      </c>
    </row>
    <row r="284" spans="1:4" x14ac:dyDescent="0.25">
      <c r="A284" t="s">
        <v>381</v>
      </c>
      <c r="B284">
        <f>Inputs!$B$3/20*'Section Calcs'!$A$108</f>
        <v>37.948061448427211</v>
      </c>
      <c r="C284" s="13">
        <f>'Section Calcs'!$Y$107</f>
        <v>0.24257294968706822</v>
      </c>
      <c r="D284" s="13">
        <f>'Section Calcs'!$Y$110</f>
        <v>3.0326389503162288</v>
      </c>
    </row>
    <row r="285" spans="1:4" x14ac:dyDescent="0.25">
      <c r="A285" t="s">
        <v>381</v>
      </c>
      <c r="B285">
        <f>Inputs!$B$3/20*'Section Calcs'!$A$108</f>
        <v>37.948061448427211</v>
      </c>
      <c r="C285" s="13">
        <f>'Section Calcs'!$Z$107</f>
        <v>0.3396021295618955</v>
      </c>
      <c r="D285" s="13">
        <f>'Section Calcs'!$Z$110</f>
        <v>3.2139486543290143</v>
      </c>
    </row>
    <row r="286" spans="1:4" x14ac:dyDescent="0.25">
      <c r="A286" t="s">
        <v>381</v>
      </c>
      <c r="B286">
        <f>Inputs!$B$3/20*'Section Calcs'!$A$108</f>
        <v>37.948061448427211</v>
      </c>
      <c r="C286" s="13">
        <f>'Section Calcs'!$AA$107</f>
        <v>0.48514589937413644</v>
      </c>
      <c r="D286" s="13">
        <f>'Section Calcs'!$AA$110</f>
        <v>3.3902200562433991</v>
      </c>
    </row>
    <row r="287" spans="1:4" x14ac:dyDescent="0.25">
      <c r="A287" t="s">
        <v>381</v>
      </c>
      <c r="B287">
        <f>Inputs!$B$3/20*'Section Calcs'!$A$108</f>
        <v>37.948061448427211</v>
      </c>
      <c r="C287" s="13">
        <f>'Section Calcs'!$AB$107</f>
        <v>0.72771884906120454</v>
      </c>
      <c r="D287" s="13">
        <f>'Section Calcs'!$AB$110</f>
        <v>3.5888356840316447</v>
      </c>
    </row>
    <row r="288" spans="1:4" x14ac:dyDescent="0.25">
      <c r="A288" t="s">
        <v>381</v>
      </c>
      <c r="B288">
        <f>Inputs!$B$3/20*'Section Calcs'!$A$108</f>
        <v>37.948061448427211</v>
      </c>
      <c r="C288" s="13">
        <f>'Section Calcs'!$AC$107</f>
        <v>0.97029179874827287</v>
      </c>
      <c r="D288" s="13">
        <f>'Section Calcs'!$AC$110</f>
        <v>3.742316135428148</v>
      </c>
    </row>
    <row r="289" spans="1:4" x14ac:dyDescent="0.25">
      <c r="A289" t="s">
        <v>381</v>
      </c>
      <c r="B289">
        <f>Inputs!$B$3/20*'Section Calcs'!$A$108</f>
        <v>37.948061448427211</v>
      </c>
      <c r="C289" s="13">
        <f>'Section Calcs'!$AD$107</f>
        <v>1.4554376981224091</v>
      </c>
      <c r="D289" s="13">
        <f>'Section Calcs'!$AD$110</f>
        <v>4.0013775669795768</v>
      </c>
    </row>
    <row r="290" spans="1:4" x14ac:dyDescent="0.25">
      <c r="A290" t="s">
        <v>381</v>
      </c>
      <c r="B290">
        <f>Inputs!$B$3/20*'Section Calcs'!$A$108</f>
        <v>37.948061448427211</v>
      </c>
      <c r="C290" s="13">
        <f>'Section Calcs'!$AE$107</f>
        <v>1.9405835974965457</v>
      </c>
      <c r="D290" s="13">
        <f>'Section Calcs'!$AE$110</f>
        <v>4.2355654425312448</v>
      </c>
    </row>
    <row r="291" spans="1:4" x14ac:dyDescent="0.25">
      <c r="A291" t="s">
        <v>381</v>
      </c>
      <c r="B291">
        <f>Inputs!$B$3/20*'Section Calcs'!$A$108</f>
        <v>37.948061448427211</v>
      </c>
      <c r="C291" s="13">
        <f>'Section Calcs'!$AF$107</f>
        <v>2.425729496870682</v>
      </c>
      <c r="D291" s="13">
        <f>'Section Calcs'!$AF$110</f>
        <v>4.4595262875995738</v>
      </c>
    </row>
    <row r="292" spans="1:4" x14ac:dyDescent="0.25">
      <c r="A292" t="s">
        <v>381</v>
      </c>
      <c r="B292">
        <f>Inputs!$B$3/20*'Section Calcs'!$A$108</f>
        <v>37.948061448427211</v>
      </c>
      <c r="C292" s="13">
        <f>'Section Calcs'!$AG$107</f>
        <v>2.9108753962448182</v>
      </c>
      <c r="D292" s="13">
        <f>'Section Calcs'!$AG$110</f>
        <v>4.6782941059556737</v>
      </c>
    </row>
    <row r="293" spans="1:4" x14ac:dyDescent="0.25">
      <c r="A293" t="s">
        <v>381</v>
      </c>
      <c r="B293">
        <f>Inputs!$B$3/20*'Section Calcs'!$A$108</f>
        <v>37.948061448427211</v>
      </c>
      <c r="C293" s="13">
        <f>'Section Calcs'!$AH$107</f>
        <v>3.3960212956189544</v>
      </c>
      <c r="D293" s="13">
        <f>'Section Calcs'!$AH$110</f>
        <v>4.8940647519763267</v>
      </c>
    </row>
    <row r="294" spans="1:4" x14ac:dyDescent="0.25">
      <c r="A294" t="s">
        <v>381</v>
      </c>
      <c r="B294">
        <f>Inputs!$B$3/20*'Section Calcs'!$A$108</f>
        <v>37.948061448427211</v>
      </c>
      <c r="C294" s="13">
        <f>'Section Calcs'!$AI$107</f>
        <v>3.8811671949930915</v>
      </c>
      <c r="D294" s="13">
        <f>'Section Calcs'!$AI$110</f>
        <v>5.1079490067987185</v>
      </c>
    </row>
    <row r="295" spans="1:4" x14ac:dyDescent="0.25">
      <c r="A295" t="s">
        <v>381</v>
      </c>
      <c r="B295">
        <f>Inputs!$B$3/20*'Section Calcs'!$A$108</f>
        <v>37.948061448427211</v>
      </c>
      <c r="C295" s="13">
        <f>'Section Calcs'!$AJ$107</f>
        <v>4.3663130943672277</v>
      </c>
      <c r="D295" s="13">
        <f>'Section Calcs'!$AJ$110</f>
        <v>5.3205691153013746</v>
      </c>
    </row>
    <row r="296" spans="1:4" x14ac:dyDescent="0.25">
      <c r="A296" t="s">
        <v>381</v>
      </c>
      <c r="B296">
        <f>Inputs!$B$3/20*'Section Calcs'!$A$108</f>
        <v>37.948061448427211</v>
      </c>
      <c r="C296" s="13">
        <f>'Section Calcs'!$AK$107</f>
        <v>4.8514589937413639</v>
      </c>
      <c r="D296" s="13">
        <f>'Section Calcs'!$AK$110</f>
        <v>5.5323007610547359</v>
      </c>
    </row>
    <row r="297" spans="1:4" x14ac:dyDescent="0.25">
      <c r="A297" t="s">
        <v>381</v>
      </c>
      <c r="B297">
        <f>Inputs!$B$3/20*'Section Calcs'!$A$108</f>
        <v>37.948061448427211</v>
      </c>
      <c r="C297" s="13">
        <f>'Section Calcs'!$AL$107</f>
        <v>5.9364157075602337</v>
      </c>
      <c r="D297" s="13">
        <f>'Section Calcs'!$AL$110</f>
        <v>5.9326694775794735</v>
      </c>
    </row>
    <row r="298" spans="1:4" x14ac:dyDescent="0.25">
      <c r="A298" t="s">
        <v>381</v>
      </c>
      <c r="B298">
        <f>Inputs!$B$3/20*'Section Calcs'!$A$108</f>
        <v>37.948061448427211</v>
      </c>
      <c r="C298" s="13">
        <f>'Section Calcs'!$AM$107</f>
        <v>7.0213724213791036</v>
      </c>
      <c r="D298" s="13">
        <f>'Section Calcs'!$AM$110</f>
        <v>6.188356162667656</v>
      </c>
    </row>
    <row r="299" spans="1:4" x14ac:dyDescent="0.25">
      <c r="A299" t="s">
        <v>381</v>
      </c>
      <c r="B299">
        <f>Inputs!$B$3/20*'Section Calcs'!$A$108</f>
        <v>37.948061448427211</v>
      </c>
      <c r="C299" s="13">
        <f>'Section Calcs'!$AN$107</f>
        <v>8.1063291351979743</v>
      </c>
      <c r="D299" s="13">
        <f>'Section Calcs'!$AN$110</f>
        <v>6.2993608163192825</v>
      </c>
    </row>
    <row r="300" spans="1:4" x14ac:dyDescent="0.25">
      <c r="A300" t="s">
        <v>381</v>
      </c>
      <c r="B300">
        <f>Inputs!$B$3/20*'Section Calcs'!$A$108</f>
        <v>37.948061448427211</v>
      </c>
      <c r="C300" s="13">
        <f>'Section Calcs'!$AO$107</f>
        <v>9.1912858490168432</v>
      </c>
      <c r="D300" s="13">
        <f>'Section Calcs'!$AO$110</f>
        <v>6.2656834385343565</v>
      </c>
    </row>
    <row r="301" spans="1:4" x14ac:dyDescent="0.25">
      <c r="A301" t="s">
        <v>381</v>
      </c>
      <c r="B301">
        <f>Inputs!$B$3/20*'Section Calcs'!$A$113</f>
        <v>31.623384540356014</v>
      </c>
      <c r="C301" s="13">
        <f>'Section Calcs'!$V$112</f>
        <v>0</v>
      </c>
      <c r="D301" s="13">
        <f>'Section Calcs'!$V$115</f>
        <v>0</v>
      </c>
    </row>
    <row r="302" spans="1:4" x14ac:dyDescent="0.25">
      <c r="A302" t="s">
        <v>381</v>
      </c>
      <c r="B302">
        <f>Inputs!$B$3/20*'Section Calcs'!$A$113</f>
        <v>31.623384540356014</v>
      </c>
      <c r="C302" s="13">
        <f>'Section Calcs'!$W$112</f>
        <v>4.8514589937413644E-2</v>
      </c>
      <c r="D302" s="13">
        <f>'Section Calcs'!$W$115</f>
        <v>0.83878579968863121</v>
      </c>
    </row>
    <row r="303" spans="1:4" x14ac:dyDescent="0.25">
      <c r="A303" t="s">
        <v>381</v>
      </c>
      <c r="B303">
        <f>Inputs!$B$3/20*'Section Calcs'!$A$113</f>
        <v>31.623384540356014</v>
      </c>
      <c r="C303" s="13">
        <f>'Section Calcs'!$X$112</f>
        <v>0.1455437698122409</v>
      </c>
      <c r="D303" s="13">
        <f>'Section Calcs'!$X$115</f>
        <v>1.6359094304008457</v>
      </c>
    </row>
    <row r="304" spans="1:4" x14ac:dyDescent="0.25">
      <c r="A304" t="s">
        <v>381</v>
      </c>
      <c r="B304">
        <f>Inputs!$B$3/20*'Section Calcs'!$A$113</f>
        <v>31.623384540356014</v>
      </c>
      <c r="C304" s="13">
        <f>'Section Calcs'!$Y$112</f>
        <v>0.24257294968706822</v>
      </c>
      <c r="D304" s="13">
        <f>'Section Calcs'!$Y$115</f>
        <v>2.0334630532521771</v>
      </c>
    </row>
    <row r="305" spans="1:4" x14ac:dyDescent="0.25">
      <c r="A305" t="s">
        <v>381</v>
      </c>
      <c r="B305">
        <f>Inputs!$B$3/20*'Section Calcs'!$A$113</f>
        <v>31.623384540356014</v>
      </c>
      <c r="C305" s="13">
        <f>'Section Calcs'!$Z$112</f>
        <v>0.3396021295618955</v>
      </c>
      <c r="D305" s="13">
        <f>'Section Calcs'!$Z$115</f>
        <v>2.2816992946646897</v>
      </c>
    </row>
    <row r="306" spans="1:4" x14ac:dyDescent="0.25">
      <c r="A306" t="s">
        <v>381</v>
      </c>
      <c r="B306">
        <f>Inputs!$B$3/20*'Section Calcs'!$A$113</f>
        <v>31.623384540356014</v>
      </c>
      <c r="C306" s="13">
        <f>'Section Calcs'!$AA$112</f>
        <v>0.48514589937413644</v>
      </c>
      <c r="D306" s="13">
        <f>'Section Calcs'!$AA$115</f>
        <v>2.529869790935849</v>
      </c>
    </row>
    <row r="307" spans="1:4" x14ac:dyDescent="0.25">
      <c r="A307" t="s">
        <v>381</v>
      </c>
      <c r="B307">
        <f>Inputs!$B$3/20*'Section Calcs'!$A$113</f>
        <v>31.623384540356014</v>
      </c>
      <c r="C307" s="13">
        <f>'Section Calcs'!$AB$112</f>
        <v>0.72771884906120454</v>
      </c>
      <c r="D307" s="13">
        <f>'Section Calcs'!$AB$115</f>
        <v>2.8007017449474758</v>
      </c>
    </row>
    <row r="308" spans="1:4" x14ac:dyDescent="0.25">
      <c r="A308" t="s">
        <v>381</v>
      </c>
      <c r="B308">
        <f>Inputs!$B$3/20*'Section Calcs'!$A$113</f>
        <v>31.623384540356014</v>
      </c>
      <c r="C308" s="13">
        <f>'Section Calcs'!$AC$112</f>
        <v>0.97029179874827287</v>
      </c>
      <c r="D308" s="13">
        <f>'Section Calcs'!$AC$115</f>
        <v>2.9958093060451789</v>
      </c>
    </row>
    <row r="309" spans="1:4" x14ac:dyDescent="0.25">
      <c r="A309" t="s">
        <v>381</v>
      </c>
      <c r="B309">
        <f>Inputs!$B$3/20*'Section Calcs'!$A$113</f>
        <v>31.623384540356014</v>
      </c>
      <c r="C309" s="13">
        <f>'Section Calcs'!$AD$112</f>
        <v>1.4554376981224091</v>
      </c>
      <c r="D309" s="13">
        <f>'Section Calcs'!$AD$115</f>
        <v>3.2983068553410346</v>
      </c>
    </row>
    <row r="310" spans="1:4" x14ac:dyDescent="0.25">
      <c r="A310" t="s">
        <v>381</v>
      </c>
      <c r="B310">
        <f>Inputs!$B$3/20*'Section Calcs'!$A$113</f>
        <v>31.623384540356014</v>
      </c>
      <c r="C310" s="13">
        <f>'Section Calcs'!$AE$112</f>
        <v>1.9405835974965457</v>
      </c>
      <c r="D310" s="13">
        <f>'Section Calcs'!$AE$115</f>
        <v>3.5525164789089536</v>
      </c>
    </row>
    <row r="311" spans="1:4" x14ac:dyDescent="0.25">
      <c r="A311" t="s">
        <v>381</v>
      </c>
      <c r="B311">
        <f>Inputs!$B$3/20*'Section Calcs'!$A$113</f>
        <v>31.623384540356014</v>
      </c>
      <c r="C311" s="13">
        <f>'Section Calcs'!$AF$112</f>
        <v>2.425729496870682</v>
      </c>
      <c r="D311" s="13">
        <f>'Section Calcs'!$AF$115</f>
        <v>3.7859892947478739</v>
      </c>
    </row>
    <row r="312" spans="1:4" x14ac:dyDescent="0.25">
      <c r="A312" t="s">
        <v>381</v>
      </c>
      <c r="B312">
        <f>Inputs!$B$3/20*'Section Calcs'!$A$113</f>
        <v>31.623384540356014</v>
      </c>
      <c r="C312" s="13">
        <f>'Section Calcs'!$AG$112</f>
        <v>2.9108753962448182</v>
      </c>
      <c r="D312" s="13">
        <f>'Section Calcs'!$AG$115</f>
        <v>4.0086662462326235</v>
      </c>
    </row>
    <row r="313" spans="1:4" x14ac:dyDescent="0.25">
      <c r="A313" t="s">
        <v>381</v>
      </c>
      <c r="B313">
        <f>Inputs!$B$3/20*'Section Calcs'!$A$113</f>
        <v>31.623384540356014</v>
      </c>
      <c r="C313" s="13">
        <f>'Section Calcs'!$AH$112</f>
        <v>3.3960212956189544</v>
      </c>
      <c r="D313" s="13">
        <f>'Section Calcs'!$AH$115</f>
        <v>4.2250096636560812</v>
      </c>
    </row>
    <row r="314" spans="1:4" x14ac:dyDescent="0.25">
      <c r="A314" t="s">
        <v>381</v>
      </c>
      <c r="B314">
        <f>Inputs!$B$3/20*'Section Calcs'!$A$113</f>
        <v>31.623384540356014</v>
      </c>
      <c r="C314" s="13">
        <f>'Section Calcs'!$AI$112</f>
        <v>3.8811671949930915</v>
      </c>
      <c r="D314" s="13">
        <f>'Section Calcs'!$AI$115</f>
        <v>4.4373204191772029</v>
      </c>
    </row>
    <row r="315" spans="1:4" x14ac:dyDescent="0.25">
      <c r="A315" t="s">
        <v>381</v>
      </c>
      <c r="B315">
        <f>Inputs!$B$3/20*'Section Calcs'!$A$113</f>
        <v>31.623384540356014</v>
      </c>
      <c r="C315" s="13">
        <f>'Section Calcs'!$AJ$112</f>
        <v>4.3663130943672277</v>
      </c>
      <c r="D315" s="13">
        <f>'Section Calcs'!$AJ$115</f>
        <v>4.6469052729781559</v>
      </c>
    </row>
    <row r="316" spans="1:4" x14ac:dyDescent="0.25">
      <c r="A316" t="s">
        <v>381</v>
      </c>
      <c r="B316">
        <f>Inputs!$B$3/20*'Section Calcs'!$A$113</f>
        <v>31.623384540356014</v>
      </c>
      <c r="C316" s="13">
        <f>'Section Calcs'!$AK$112</f>
        <v>4.8514589937413639</v>
      </c>
      <c r="D316" s="13">
        <f>'Section Calcs'!$AK$115</f>
        <v>4.8545614277492115</v>
      </c>
    </row>
    <row r="317" spans="1:4" x14ac:dyDescent="0.25">
      <c r="A317" t="s">
        <v>381</v>
      </c>
      <c r="B317">
        <f>Inputs!$B$3/20*'Section Calcs'!$A$113</f>
        <v>31.623384540356014</v>
      </c>
      <c r="C317" s="13">
        <f>'Section Calcs'!$AL$112</f>
        <v>5.9826194095239069</v>
      </c>
      <c r="D317" s="13">
        <f>'Section Calcs'!$AL$115</f>
        <v>5.2775514468538027</v>
      </c>
    </row>
    <row r="318" spans="1:4" x14ac:dyDescent="0.25">
      <c r="A318" t="s">
        <v>381</v>
      </c>
      <c r="B318">
        <f>Inputs!$B$3/20*'Section Calcs'!$A$113</f>
        <v>31.623384540356014</v>
      </c>
      <c r="C318" s="13">
        <f>'Section Calcs'!$AM$112</f>
        <v>7.1137798253064499</v>
      </c>
      <c r="D318" s="13">
        <f>'Section Calcs'!$AM$115</f>
        <v>5.5818044228133017</v>
      </c>
    </row>
    <row r="319" spans="1:4" x14ac:dyDescent="0.25">
      <c r="A319" t="s">
        <v>381</v>
      </c>
      <c r="B319">
        <f>Inputs!$B$3/20*'Section Calcs'!$A$113</f>
        <v>31.623384540356014</v>
      </c>
      <c r="C319" s="13">
        <f>'Section Calcs'!$AN$112</f>
        <v>8.2449402410889938</v>
      </c>
      <c r="D319" s="13">
        <f>'Section Calcs'!$AN$115</f>
        <v>5.7673203556277057</v>
      </c>
    </row>
    <row r="320" spans="1:4" x14ac:dyDescent="0.25">
      <c r="A320" t="s">
        <v>381</v>
      </c>
      <c r="B320">
        <f>Inputs!$B$3/20*'Section Calcs'!$A$113</f>
        <v>31.623384540356014</v>
      </c>
      <c r="C320" s="13">
        <f>'Section Calcs'!$AO$112</f>
        <v>9.3761006568715359</v>
      </c>
      <c r="D320" s="13">
        <f>'Section Calcs'!$AO$115</f>
        <v>5.8340992452970175</v>
      </c>
    </row>
    <row r="321" spans="1:4" x14ac:dyDescent="0.25">
      <c r="A321" t="s">
        <v>381</v>
      </c>
      <c r="B321">
        <f>Inputs!$B$3/20*'Section Calcs'!$A$118</f>
        <v>25.29870763228481</v>
      </c>
      <c r="C321" s="13">
        <f>'Section Calcs'!$V$117</f>
        <v>0</v>
      </c>
      <c r="D321" s="13">
        <f>'Section Calcs'!$V$120</f>
        <v>0</v>
      </c>
    </row>
    <row r="322" spans="1:4" x14ac:dyDescent="0.25">
      <c r="A322" t="s">
        <v>381</v>
      </c>
      <c r="B322">
        <f>Inputs!$B$3/20*'Section Calcs'!$A$118</f>
        <v>25.29870763228481</v>
      </c>
      <c r="C322" s="13">
        <f>'Section Calcs'!$W$117</f>
        <v>4.8514589937413644E-2</v>
      </c>
      <c r="D322" s="13">
        <f>'Section Calcs'!$W$120</f>
        <v>7.6299081939536662E-2</v>
      </c>
    </row>
    <row r="323" spans="1:4" x14ac:dyDescent="0.25">
      <c r="A323" t="s">
        <v>381</v>
      </c>
      <c r="B323">
        <f>Inputs!$B$3/20*'Section Calcs'!$A$118</f>
        <v>25.29870763228481</v>
      </c>
      <c r="C323" s="13">
        <f>'Section Calcs'!$X$117</f>
        <v>0.1455437698122409</v>
      </c>
      <c r="D323" s="13">
        <f>'Section Calcs'!$X$120</f>
        <v>0.23166256354463399</v>
      </c>
    </row>
    <row r="324" spans="1:4" x14ac:dyDescent="0.25">
      <c r="A324" t="s">
        <v>381</v>
      </c>
      <c r="B324">
        <f>Inputs!$B$3/20*'Section Calcs'!$A$118</f>
        <v>25.29870763228481</v>
      </c>
      <c r="C324" s="13">
        <f>'Section Calcs'!$Y$117</f>
        <v>0.24257294968706822</v>
      </c>
      <c r="D324" s="13">
        <f>'Section Calcs'!$Y$120</f>
        <v>0.38999319991863673</v>
      </c>
    </row>
    <row r="325" spans="1:4" x14ac:dyDescent="0.25">
      <c r="A325" t="s">
        <v>381</v>
      </c>
      <c r="B325">
        <f>Inputs!$B$3/20*'Section Calcs'!$A$118</f>
        <v>25.29870763228481</v>
      </c>
      <c r="C325" s="13">
        <f>'Section Calcs'!$Z$117</f>
        <v>0.3396021295618955</v>
      </c>
      <c r="D325" s="13">
        <f>'Section Calcs'!$Z$120</f>
        <v>0.5504608204665512</v>
      </c>
    </row>
    <row r="326" spans="1:4" x14ac:dyDescent="0.25">
      <c r="A326" t="s">
        <v>381</v>
      </c>
      <c r="B326">
        <f>Inputs!$B$3/20*'Section Calcs'!$A$118</f>
        <v>25.29870763228481</v>
      </c>
      <c r="C326" s="13">
        <f>'Section Calcs'!$AA$117</f>
        <v>0.48514589937413644</v>
      </c>
      <c r="D326" s="13">
        <f>'Section Calcs'!$AA$120</f>
        <v>0.79344802606158926</v>
      </c>
    </row>
    <row r="327" spans="1:4" x14ac:dyDescent="0.25">
      <c r="A327" t="s">
        <v>381</v>
      </c>
      <c r="B327">
        <f>Inputs!$B$3/20*'Section Calcs'!$A$118</f>
        <v>25.29870763228481</v>
      </c>
      <c r="C327" s="13">
        <f>'Section Calcs'!$AB$117</f>
        <v>0.72771884906120454</v>
      </c>
      <c r="D327" s="13">
        <f>'Section Calcs'!$AB$120</f>
        <v>1.1984478142557631</v>
      </c>
    </row>
    <row r="328" spans="1:4" x14ac:dyDescent="0.25">
      <c r="A328" t="s">
        <v>381</v>
      </c>
      <c r="B328">
        <f>Inputs!$B$3/20*'Section Calcs'!$A$118</f>
        <v>25.29870763228481</v>
      </c>
      <c r="C328" s="13">
        <f>'Section Calcs'!$AC$117</f>
        <v>0.97029179874827287</v>
      </c>
      <c r="D328" s="13">
        <f>'Section Calcs'!$AC$120</f>
        <v>1.5945826880047596</v>
      </c>
    </row>
    <row r="329" spans="1:4" x14ac:dyDescent="0.25">
      <c r="A329" t="s">
        <v>381</v>
      </c>
      <c r="B329">
        <f>Inputs!$B$3/20*'Section Calcs'!$A$118</f>
        <v>25.29870763228481</v>
      </c>
      <c r="C329" s="13">
        <f>'Section Calcs'!$AD$117</f>
        <v>1.4554376981224091</v>
      </c>
      <c r="D329" s="13">
        <f>'Section Calcs'!$AD$120</f>
        <v>2.3261521245650885</v>
      </c>
    </row>
    <row r="330" spans="1:4" x14ac:dyDescent="0.25">
      <c r="A330" t="s">
        <v>381</v>
      </c>
      <c r="B330">
        <f>Inputs!$B$3/20*'Section Calcs'!$A$118</f>
        <v>25.29870763228481</v>
      </c>
      <c r="C330" s="13">
        <f>'Section Calcs'!$AE$117</f>
        <v>1.9405835974965457</v>
      </c>
      <c r="D330" s="13">
        <f>'Section Calcs'!$AE$120</f>
        <v>2.9350130773052623</v>
      </c>
    </row>
    <row r="331" spans="1:4" x14ac:dyDescent="0.25">
      <c r="A331" t="s">
        <v>381</v>
      </c>
      <c r="B331">
        <f>Inputs!$B$3/20*'Section Calcs'!$A$118</f>
        <v>25.29870763228481</v>
      </c>
      <c r="C331" s="13">
        <f>'Section Calcs'!$AF$117</f>
        <v>2.425729496870682</v>
      </c>
      <c r="D331" s="13">
        <f>'Section Calcs'!$AF$120</f>
        <v>3.3921308906150656</v>
      </c>
    </row>
    <row r="332" spans="1:4" x14ac:dyDescent="0.25">
      <c r="A332" t="s">
        <v>381</v>
      </c>
      <c r="B332">
        <f>Inputs!$B$3/20*'Section Calcs'!$A$118</f>
        <v>25.29870763228481</v>
      </c>
      <c r="C332" s="13">
        <f>'Section Calcs'!$AG$117</f>
        <v>2.9108753962448182</v>
      </c>
      <c r="D332" s="13">
        <f>'Section Calcs'!$AG$120</f>
        <v>3.6925795117113962</v>
      </c>
    </row>
    <row r="333" spans="1:4" x14ac:dyDescent="0.25">
      <c r="A333" t="s">
        <v>381</v>
      </c>
      <c r="B333">
        <f>Inputs!$B$3/20*'Section Calcs'!$A$118</f>
        <v>25.29870763228481</v>
      </c>
      <c r="C333" s="13">
        <f>'Section Calcs'!$AH$117</f>
        <v>3.3960212956189544</v>
      </c>
      <c r="D333" s="13">
        <f>'Section Calcs'!$AH$120</f>
        <v>3.855541490638255</v>
      </c>
    </row>
    <row r="334" spans="1:4" x14ac:dyDescent="0.25">
      <c r="A334" t="s">
        <v>381</v>
      </c>
      <c r="B334">
        <f>Inputs!$B$3/20*'Section Calcs'!$A$118</f>
        <v>25.29870763228481</v>
      </c>
      <c r="C334" s="13">
        <f>'Section Calcs'!$AI$117</f>
        <v>3.8811671949930915</v>
      </c>
      <c r="D334" s="13">
        <f>'Section Calcs'!$AI$120</f>
        <v>3.9243079802667524</v>
      </c>
    </row>
    <row r="335" spans="1:4" x14ac:dyDescent="0.25">
      <c r="A335" t="s">
        <v>381</v>
      </c>
      <c r="B335">
        <f>Inputs!$B$3/20*'Section Calcs'!$A$118</f>
        <v>25.29870763228481</v>
      </c>
      <c r="C335" s="13">
        <f>'Section Calcs'!$AJ$117</f>
        <v>4.3663130943672277</v>
      </c>
      <c r="D335" s="13">
        <f>'Section Calcs'!$AJ$120</f>
        <v>3.966278736295076</v>
      </c>
    </row>
    <row r="336" spans="1:4" x14ac:dyDescent="0.25">
      <c r="A336" t="s">
        <v>381</v>
      </c>
      <c r="B336">
        <f>Inputs!$B$3/20*'Section Calcs'!$A$118</f>
        <v>25.29870763228481</v>
      </c>
      <c r="C336" s="13">
        <f>'Section Calcs'!$AK$117</f>
        <v>4.8514589937413639</v>
      </c>
      <c r="D336" s="13">
        <f>'Section Calcs'!$AK$120</f>
        <v>4.0729621172485997</v>
      </c>
    </row>
    <row r="337" spans="1:4" x14ac:dyDescent="0.25">
      <c r="A337" t="s">
        <v>381</v>
      </c>
      <c r="B337">
        <f>Inputs!$B$3/20*'Section Calcs'!$A$118</f>
        <v>25.29870763228481</v>
      </c>
      <c r="C337" s="13">
        <f>'Section Calcs'!$AL$117</f>
        <v>6.0424339968151557</v>
      </c>
      <c r="D337" s="13">
        <f>'Section Calcs'!$AL$120</f>
        <v>4.4714767675480669</v>
      </c>
    </row>
    <row r="338" spans="1:4" x14ac:dyDescent="0.25">
      <c r="A338" t="s">
        <v>381</v>
      </c>
      <c r="B338">
        <f>Inputs!$B$3/20*'Section Calcs'!$A$118</f>
        <v>25.29870763228481</v>
      </c>
      <c r="C338" s="13">
        <f>'Section Calcs'!$AM$117</f>
        <v>7.2334089998889466</v>
      </c>
      <c r="D338" s="13">
        <f>'Section Calcs'!$AM$120</f>
        <v>4.8050159431673585</v>
      </c>
    </row>
    <row r="339" spans="1:4" x14ac:dyDescent="0.25">
      <c r="A339" t="s">
        <v>381</v>
      </c>
      <c r="B339">
        <f>Inputs!$B$3/20*'Section Calcs'!$A$118</f>
        <v>25.29870763228481</v>
      </c>
      <c r="C339" s="13">
        <f>'Section Calcs'!$AN$117</f>
        <v>8.4243840029627375</v>
      </c>
      <c r="D339" s="13">
        <f>'Section Calcs'!$AN$120</f>
        <v>5.0735796441064753</v>
      </c>
    </row>
    <row r="340" spans="1:4" x14ac:dyDescent="0.25">
      <c r="A340" t="s">
        <v>381</v>
      </c>
      <c r="B340">
        <f>Inputs!$B$3/20*'Section Calcs'!$A$118</f>
        <v>25.29870763228481</v>
      </c>
      <c r="C340" s="13">
        <f>'Section Calcs'!$AO$117</f>
        <v>9.6153590060365293</v>
      </c>
      <c r="D340" s="13">
        <f>'Section Calcs'!$AO$120</f>
        <v>5.2771678703654139</v>
      </c>
    </row>
    <row r="341" spans="1:4" x14ac:dyDescent="0.25">
      <c r="A341" t="s">
        <v>381</v>
      </c>
      <c r="B341">
        <f>Inputs!$B$3/20*'Section Calcs'!$A$123</f>
        <v>18.974030724213605</v>
      </c>
      <c r="C341" s="13">
        <f>'Section Calcs'!$V$122</f>
        <v>0</v>
      </c>
      <c r="D341" s="13">
        <f>'Section Calcs'!$V$125</f>
        <v>0</v>
      </c>
    </row>
    <row r="342" spans="1:4" x14ac:dyDescent="0.25">
      <c r="A342" t="s">
        <v>381</v>
      </c>
      <c r="B342">
        <f>Inputs!$B$3/20*'Section Calcs'!$A$123</f>
        <v>18.974030724213605</v>
      </c>
      <c r="C342" s="13">
        <f>'Section Calcs'!$W$122</f>
        <v>4.8514589937413644E-2</v>
      </c>
      <c r="D342" s="13">
        <f>'Section Calcs'!$W$125</f>
        <v>1.2059971625739336E-2</v>
      </c>
    </row>
    <row r="343" spans="1:4" x14ac:dyDescent="0.25">
      <c r="A343" t="s">
        <v>381</v>
      </c>
      <c r="B343">
        <f>Inputs!$B$3/20*'Section Calcs'!$A$123</f>
        <v>18.974030724213605</v>
      </c>
      <c r="C343" s="13">
        <f>'Section Calcs'!$X$122</f>
        <v>0.1455437698122409</v>
      </c>
      <c r="D343" s="13">
        <f>'Section Calcs'!$X$125</f>
        <v>4.7140988725535356E-2</v>
      </c>
    </row>
    <row r="344" spans="1:4" x14ac:dyDescent="0.25">
      <c r="A344" t="s">
        <v>381</v>
      </c>
      <c r="B344">
        <f>Inputs!$B$3/20*'Section Calcs'!$A$123</f>
        <v>18.974030724213605</v>
      </c>
      <c r="C344" s="13">
        <f>'Section Calcs'!$Y$122</f>
        <v>0.24257294968706822</v>
      </c>
      <c r="D344" s="13">
        <f>'Section Calcs'!$Y$125</f>
        <v>9.5666280181521957E-2</v>
      </c>
    </row>
    <row r="345" spans="1:4" x14ac:dyDescent="0.25">
      <c r="A345" t="s">
        <v>381</v>
      </c>
      <c r="B345">
        <f>Inputs!$B$3/20*'Section Calcs'!$A$123</f>
        <v>18.974030724213605</v>
      </c>
      <c r="C345" s="13">
        <f>'Section Calcs'!$Z$122</f>
        <v>0.3396021295618955</v>
      </c>
      <c r="D345" s="13">
        <f>'Section Calcs'!$Z$125</f>
        <v>0.15627547164736225</v>
      </c>
    </row>
    <row r="346" spans="1:4" x14ac:dyDescent="0.25">
      <c r="A346" t="s">
        <v>381</v>
      </c>
      <c r="B346">
        <f>Inputs!$B$3/20*'Section Calcs'!$A$123</f>
        <v>18.974030724213605</v>
      </c>
      <c r="C346" s="13">
        <f>'Section Calcs'!$AA$122</f>
        <v>0.48514589937413644</v>
      </c>
      <c r="D346" s="13">
        <f>'Section Calcs'!$AA$125</f>
        <v>0.26699510599819826</v>
      </c>
    </row>
    <row r="347" spans="1:4" x14ac:dyDescent="0.25">
      <c r="A347" t="s">
        <v>381</v>
      </c>
      <c r="B347">
        <f>Inputs!$B$3/20*'Section Calcs'!$A$123</f>
        <v>18.974030724213605</v>
      </c>
      <c r="C347" s="13">
        <f>'Section Calcs'!$AB$122</f>
        <v>0.72771884906120454</v>
      </c>
      <c r="D347" s="13">
        <f>'Section Calcs'!$AB$125</f>
        <v>0.49411233402420351</v>
      </c>
    </row>
    <row r="348" spans="1:4" x14ac:dyDescent="0.25">
      <c r="A348" t="s">
        <v>381</v>
      </c>
      <c r="B348">
        <f>Inputs!$B$3/20*'Section Calcs'!$A$123</f>
        <v>18.974030724213605</v>
      </c>
      <c r="C348" s="13">
        <f>'Section Calcs'!$AC$122</f>
        <v>0.97029179874827287</v>
      </c>
      <c r="D348" s="13">
        <f>'Section Calcs'!$AC$125</f>
        <v>0.75911768617041364</v>
      </c>
    </row>
    <row r="349" spans="1:4" x14ac:dyDescent="0.25">
      <c r="A349" t="s">
        <v>381</v>
      </c>
      <c r="B349">
        <f>Inputs!$B$3/20*'Section Calcs'!$A$123</f>
        <v>18.974030724213605</v>
      </c>
      <c r="C349" s="13">
        <f>'Section Calcs'!$AD$122</f>
        <v>1.4554376981224091</v>
      </c>
      <c r="D349" s="13">
        <f>'Section Calcs'!$AD$125</f>
        <v>1.341060977150446</v>
      </c>
    </row>
    <row r="350" spans="1:4" x14ac:dyDescent="0.25">
      <c r="A350" t="s">
        <v>381</v>
      </c>
      <c r="B350">
        <f>Inputs!$B$3/20*'Section Calcs'!$A$123</f>
        <v>18.974030724213605</v>
      </c>
      <c r="C350" s="13">
        <f>'Section Calcs'!$AE$122</f>
        <v>1.9405835974965457</v>
      </c>
      <c r="D350" s="13">
        <f>'Section Calcs'!$AE$125</f>
        <v>1.9091000609592967</v>
      </c>
    </row>
    <row r="351" spans="1:4" x14ac:dyDescent="0.25">
      <c r="A351" t="s">
        <v>381</v>
      </c>
      <c r="B351">
        <f>Inputs!$B$3/20*'Section Calcs'!$A$123</f>
        <v>18.974030724213605</v>
      </c>
      <c r="C351" s="13">
        <f>'Section Calcs'!$AF$122</f>
        <v>2.425729496870682</v>
      </c>
      <c r="D351" s="13">
        <f>'Section Calcs'!$AF$125</f>
        <v>2.3910918650051638</v>
      </c>
    </row>
    <row r="352" spans="1:4" x14ac:dyDescent="0.25">
      <c r="A352" t="s">
        <v>381</v>
      </c>
      <c r="B352">
        <f>Inputs!$B$3/20*'Section Calcs'!$A$123</f>
        <v>18.974030724213605</v>
      </c>
      <c r="C352" s="13">
        <f>'Section Calcs'!$AG$122</f>
        <v>2.9108753962448182</v>
      </c>
      <c r="D352" s="13">
        <f>'Section Calcs'!$AG$125</f>
        <v>2.7464751620834469</v>
      </c>
    </row>
    <row r="353" spans="1:4" x14ac:dyDescent="0.25">
      <c r="A353" t="s">
        <v>381</v>
      </c>
      <c r="B353">
        <f>Inputs!$B$3/20*'Section Calcs'!$A$123</f>
        <v>18.974030724213605</v>
      </c>
      <c r="C353" s="13">
        <f>'Section Calcs'!$AH$122</f>
        <v>3.3960212956189544</v>
      </c>
      <c r="D353" s="13">
        <f>'Section Calcs'!$AH$125</f>
        <v>2.9662705703767487</v>
      </c>
    </row>
    <row r="354" spans="1:4" x14ac:dyDescent="0.25">
      <c r="A354" t="s">
        <v>381</v>
      </c>
      <c r="B354">
        <f>Inputs!$B$3/20*'Section Calcs'!$A$123</f>
        <v>18.974030724213605</v>
      </c>
      <c r="C354" s="13">
        <f>'Section Calcs'!$AI$122</f>
        <v>3.8811671949930915</v>
      </c>
      <c r="D354" s="13">
        <f>'Section Calcs'!$AI$125</f>
        <v>3.0730805534548709</v>
      </c>
    </row>
    <row r="355" spans="1:4" x14ac:dyDescent="0.25">
      <c r="A355" t="s">
        <v>381</v>
      </c>
      <c r="B355">
        <f>Inputs!$B$3/20*'Section Calcs'!$A$123</f>
        <v>18.974030724213605</v>
      </c>
      <c r="C355" s="13">
        <f>'Section Calcs'!$AJ$122</f>
        <v>4.3663130943672277</v>
      </c>
      <c r="D355" s="13">
        <f>'Section Calcs'!$AJ$125</f>
        <v>3.1210894202747914</v>
      </c>
    </row>
    <row r="356" spans="1:4" x14ac:dyDescent="0.25">
      <c r="A356" t="s">
        <v>381</v>
      </c>
      <c r="B356">
        <f>Inputs!$B$3/20*'Section Calcs'!$A$123</f>
        <v>18.974030724213605</v>
      </c>
      <c r="C356" s="13">
        <f>'Section Calcs'!$AK$122</f>
        <v>4.8514589937413639</v>
      </c>
      <c r="D356" s="13">
        <f>'Section Calcs'!$AK$125</f>
        <v>3.19606332518075</v>
      </c>
    </row>
    <row r="357" spans="1:4" x14ac:dyDescent="0.25">
      <c r="A357" t="s">
        <v>381</v>
      </c>
      <c r="B357">
        <f>Inputs!$B$3/20*'Section Calcs'!$A$123</f>
        <v>18.974030724213605</v>
      </c>
      <c r="C357" s="13">
        <f>'Section Calcs'!$AL$122</f>
        <v>6.1157594930830559</v>
      </c>
      <c r="D357" s="13">
        <f>'Section Calcs'!$AL$125</f>
        <v>3.5261888520839832</v>
      </c>
    </row>
    <row r="358" spans="1:4" x14ac:dyDescent="0.25">
      <c r="A358" t="s">
        <v>381</v>
      </c>
      <c r="B358">
        <f>Inputs!$B$3/20*'Section Calcs'!$A$123</f>
        <v>18.974030724213605</v>
      </c>
      <c r="C358" s="13">
        <f>'Section Calcs'!$AM$122</f>
        <v>7.3800599924247479</v>
      </c>
      <c r="D358" s="13">
        <f>'Section Calcs'!$AM$125</f>
        <v>3.8653697100895879</v>
      </c>
    </row>
    <row r="359" spans="1:4" x14ac:dyDescent="0.25">
      <c r="A359" t="s">
        <v>381</v>
      </c>
      <c r="B359">
        <f>Inputs!$B$3/20*'Section Calcs'!$A$123</f>
        <v>18.974030724213605</v>
      </c>
      <c r="C359" s="13">
        <f>'Section Calcs'!$AN$122</f>
        <v>8.6443604917664398</v>
      </c>
      <c r="D359" s="13">
        <f>'Section Calcs'!$AN$125</f>
        <v>4.2136058991975638</v>
      </c>
    </row>
    <row r="360" spans="1:4" x14ac:dyDescent="0.25">
      <c r="A360" t="s">
        <v>381</v>
      </c>
      <c r="B360">
        <f>Inputs!$B$3/20*'Section Calcs'!$A$123</f>
        <v>18.974030724213605</v>
      </c>
      <c r="C360" s="13">
        <f>'Section Calcs'!$AO$122</f>
        <v>9.9086609911081318</v>
      </c>
      <c r="D360" s="13">
        <f>'Section Calcs'!$AO$125</f>
        <v>4.5708974194079124</v>
      </c>
    </row>
    <row r="361" spans="1:4" x14ac:dyDescent="0.25">
      <c r="A361" t="s">
        <v>381</v>
      </c>
      <c r="B361">
        <f>Inputs!$B$3/20*'Section Calcs'!$A$128</f>
        <v>12.649353816142405</v>
      </c>
      <c r="C361" s="13">
        <f>'Section Calcs'!$V$127</f>
        <v>0</v>
      </c>
      <c r="D361" s="13">
        <f>'Section Calcs'!$V$130</f>
        <v>0</v>
      </c>
    </row>
    <row r="362" spans="1:4" x14ac:dyDescent="0.25">
      <c r="A362" t="s">
        <v>381</v>
      </c>
      <c r="B362">
        <f>Inputs!$B$3/20*'Section Calcs'!$A$128</f>
        <v>12.649353816142405</v>
      </c>
      <c r="C362" s="13">
        <f>'Section Calcs'!$W$127</f>
        <v>4.8514589937413644E-2</v>
      </c>
      <c r="D362" s="13">
        <f>'Section Calcs'!$W$130</f>
        <v>1.0380734603302451E-3</v>
      </c>
    </row>
    <row r="363" spans="1:4" x14ac:dyDescent="0.25">
      <c r="A363" t="s">
        <v>381</v>
      </c>
      <c r="B363">
        <f>Inputs!$B$3/20*'Section Calcs'!$A$128</f>
        <v>12.649353816142405</v>
      </c>
      <c r="C363" s="13">
        <f>'Section Calcs'!$X$127</f>
        <v>0.1455437698122409</v>
      </c>
      <c r="D363" s="13">
        <f>'Section Calcs'!$X$130</f>
        <v>9.1182819464083516E-3</v>
      </c>
    </row>
    <row r="364" spans="1:4" x14ac:dyDescent="0.25">
      <c r="A364" t="s">
        <v>381</v>
      </c>
      <c r="B364">
        <f>Inputs!$B$3/20*'Section Calcs'!$A$128</f>
        <v>12.649353816142405</v>
      </c>
      <c r="C364" s="13">
        <f>'Section Calcs'!$Y$127</f>
        <v>0.24257294968706822</v>
      </c>
      <c r="D364" s="13">
        <f>'Section Calcs'!$Y$130</f>
        <v>2.4708296996867874E-2</v>
      </c>
    </row>
    <row r="365" spans="1:4" x14ac:dyDescent="0.25">
      <c r="A365" t="s">
        <v>381</v>
      </c>
      <c r="B365">
        <f>Inputs!$B$3/20*'Section Calcs'!$A$128</f>
        <v>12.649353816142405</v>
      </c>
      <c r="C365" s="13">
        <f>'Section Calcs'!$Z$127</f>
        <v>0.3396021295618955</v>
      </c>
      <c r="D365" s="13">
        <f>'Section Calcs'!$Z$130</f>
        <v>4.722854869524927E-2</v>
      </c>
    </row>
    <row r="366" spans="1:4" x14ac:dyDescent="0.25">
      <c r="A366" t="s">
        <v>381</v>
      </c>
      <c r="B366">
        <f>Inputs!$B$3/20*'Section Calcs'!$A$128</f>
        <v>12.649353816142405</v>
      </c>
      <c r="C366" s="13">
        <f>'Section Calcs'!$AA$127</f>
        <v>0.48514589937413644</v>
      </c>
      <c r="D366" s="13">
        <f>'Section Calcs'!$AA$130</f>
        <v>9.2777950264968503E-2</v>
      </c>
    </row>
    <row r="367" spans="1:4" x14ac:dyDescent="0.25">
      <c r="A367" t="s">
        <v>381</v>
      </c>
      <c r="B367">
        <f>Inputs!$B$3/20*'Section Calcs'!$A$128</f>
        <v>12.649353816142405</v>
      </c>
      <c r="C367" s="13">
        <f>'Section Calcs'!$AB$127</f>
        <v>0.72771884906120454</v>
      </c>
      <c r="D367" s="13">
        <f>'Section Calcs'!$AB$130</f>
        <v>0.19562695207683323</v>
      </c>
    </row>
    <row r="368" spans="1:4" x14ac:dyDescent="0.25">
      <c r="A368" t="s">
        <v>381</v>
      </c>
      <c r="B368">
        <f>Inputs!$B$3/20*'Section Calcs'!$A$128</f>
        <v>12.649353816142405</v>
      </c>
      <c r="C368" s="13">
        <f>'Section Calcs'!$AC$127</f>
        <v>0.97029179874827287</v>
      </c>
      <c r="D368" s="13">
        <f>'Section Calcs'!$AC$130</f>
        <v>0.32535011215815635</v>
      </c>
    </row>
    <row r="369" spans="1:4" x14ac:dyDescent="0.25">
      <c r="A369" t="s">
        <v>381</v>
      </c>
      <c r="B369">
        <f>Inputs!$B$3/20*'Section Calcs'!$A$128</f>
        <v>12.649353816142405</v>
      </c>
      <c r="C369" s="13">
        <f>'Section Calcs'!$AD$127</f>
        <v>1.4554376981224091</v>
      </c>
      <c r="D369" s="13">
        <f>'Section Calcs'!$AD$130</f>
        <v>0.6371822332977588</v>
      </c>
    </row>
    <row r="370" spans="1:4" x14ac:dyDescent="0.25">
      <c r="A370" t="s">
        <v>381</v>
      </c>
      <c r="B370">
        <f>Inputs!$B$3/20*'Section Calcs'!$A$128</f>
        <v>12.649353816142405</v>
      </c>
      <c r="C370" s="13">
        <f>'Section Calcs'!$AE$127</f>
        <v>1.9405835974965457</v>
      </c>
      <c r="D370" s="13">
        <f>'Section Calcs'!$AE$130</f>
        <v>0.97856914055256372</v>
      </c>
    </row>
    <row r="371" spans="1:4" x14ac:dyDescent="0.25">
      <c r="A371" t="s">
        <v>381</v>
      </c>
      <c r="B371">
        <f>Inputs!$B$3/20*'Section Calcs'!$A$128</f>
        <v>12.649353816142405</v>
      </c>
      <c r="C371" s="13">
        <f>'Section Calcs'!$AF$127</f>
        <v>2.425729496870682</v>
      </c>
      <c r="D371" s="13">
        <f>'Section Calcs'!$AF$130</f>
        <v>1.310634740041946</v>
      </c>
    </row>
    <row r="372" spans="1:4" x14ac:dyDescent="0.25">
      <c r="A372" t="s">
        <v>381</v>
      </c>
      <c r="B372">
        <f>Inputs!$B$3/20*'Section Calcs'!$A$128</f>
        <v>12.649353816142405</v>
      </c>
      <c r="C372" s="13">
        <f>'Section Calcs'!$AG$127</f>
        <v>2.9108753962448182</v>
      </c>
      <c r="D372" s="13">
        <f>'Section Calcs'!$AG$130</f>
        <v>1.6053320171358723</v>
      </c>
    </row>
    <row r="373" spans="1:4" x14ac:dyDescent="0.25">
      <c r="A373" t="s">
        <v>381</v>
      </c>
      <c r="B373">
        <f>Inputs!$B$3/20*'Section Calcs'!$A$128</f>
        <v>12.649353816142405</v>
      </c>
      <c r="C373" s="13">
        <f>'Section Calcs'!$AH$127</f>
        <v>3.3960212956189544</v>
      </c>
      <c r="D373" s="13">
        <f>'Section Calcs'!$AH$130</f>
        <v>1.8454430364549019</v>
      </c>
    </row>
    <row r="374" spans="1:4" x14ac:dyDescent="0.25">
      <c r="A374" t="s">
        <v>381</v>
      </c>
      <c r="B374">
        <f>Inputs!$B$3/20*'Section Calcs'!$A$128</f>
        <v>12.649353816142405</v>
      </c>
      <c r="C374" s="13">
        <f>'Section Calcs'!$AI$127</f>
        <v>3.8811671949930915</v>
      </c>
      <c r="D374" s="13">
        <f>'Section Calcs'!$AI$130</f>
        <v>2.0245789418701827</v>
      </c>
    </row>
    <row r="375" spans="1:4" x14ac:dyDescent="0.25">
      <c r="A375" t="s">
        <v>381</v>
      </c>
      <c r="B375">
        <f>Inputs!$B$3/20*'Section Calcs'!$A$128</f>
        <v>12.649353816142405</v>
      </c>
      <c r="C375" s="13">
        <f>'Section Calcs'!$AJ$127</f>
        <v>4.3663130943672277</v>
      </c>
      <c r="D375" s="13">
        <f>'Section Calcs'!$AJ$130</f>
        <v>2.1471799565034404</v>
      </c>
    </row>
    <row r="376" spans="1:4" x14ac:dyDescent="0.25">
      <c r="A376" t="s">
        <v>381</v>
      </c>
      <c r="B376">
        <f>Inputs!$B$3/20*'Section Calcs'!$A$128</f>
        <v>12.649353816142405</v>
      </c>
      <c r="C376" s="13">
        <f>'Section Calcs'!$AK$127</f>
        <v>4.8514589937413639</v>
      </c>
      <c r="D376" s="13">
        <f>'Section Calcs'!$AK$130</f>
        <v>2.2285153827270259</v>
      </c>
    </row>
    <row r="377" spans="1:4" x14ac:dyDescent="0.25">
      <c r="A377" t="s">
        <v>381</v>
      </c>
      <c r="B377">
        <f>Inputs!$B$3/20*'Section Calcs'!$A$128</f>
        <v>12.649353816142405</v>
      </c>
      <c r="C377" s="13">
        <f>'Section Calcs'!$AL$127</f>
        <v>6.2027165508162501</v>
      </c>
      <c r="D377" s="13">
        <f>'Section Calcs'!$AL$130</f>
        <v>2.4628543779546099</v>
      </c>
    </row>
    <row r="378" spans="1:4" x14ac:dyDescent="0.25">
      <c r="A378" t="s">
        <v>381</v>
      </c>
      <c r="B378">
        <f>Inputs!$B$3/20*'Section Calcs'!$A$128</f>
        <v>12.649353816142405</v>
      </c>
      <c r="C378" s="13">
        <f>'Section Calcs'!$AM$127</f>
        <v>7.5539741078911371</v>
      </c>
      <c r="D378" s="13">
        <f>'Section Calcs'!$AM$130</f>
        <v>2.7842925606295768</v>
      </c>
    </row>
    <row r="379" spans="1:4" x14ac:dyDescent="0.25">
      <c r="A379" t="s">
        <v>381</v>
      </c>
      <c r="B379">
        <f>Inputs!$B$3/20*'Section Calcs'!$A$128</f>
        <v>12.649353816142405</v>
      </c>
      <c r="C379" s="13">
        <f>'Section Calcs'!$AN$127</f>
        <v>8.9052316649660241</v>
      </c>
      <c r="D379" s="13">
        <f>'Section Calcs'!$AN$130</f>
        <v>3.1928299307519277</v>
      </c>
    </row>
    <row r="380" spans="1:4" x14ac:dyDescent="0.25">
      <c r="A380" t="s">
        <v>381</v>
      </c>
      <c r="B380">
        <f>Inputs!$B$3/20*'Section Calcs'!$A$128</f>
        <v>12.649353816142405</v>
      </c>
      <c r="C380" s="13">
        <f>'Section Calcs'!$AO$127</f>
        <v>10.25648922204091</v>
      </c>
      <c r="D380" s="13">
        <f>'Section Calcs'!$AO$130</f>
        <v>3.6884664883216609</v>
      </c>
    </row>
    <row r="381" spans="1:4" x14ac:dyDescent="0.25">
      <c r="A381" t="s">
        <v>381</v>
      </c>
      <c r="B381">
        <f>Inputs!$B$3/20*'Section Calcs'!$A$133</f>
        <v>6.3246769080712024</v>
      </c>
      <c r="C381" s="13">
        <f>'Section Calcs'!$V$132</f>
        <v>0</v>
      </c>
      <c r="D381" s="13">
        <f>'Section Calcs'!$V$135</f>
        <v>0</v>
      </c>
    </row>
    <row r="382" spans="1:4" x14ac:dyDescent="0.25">
      <c r="A382" t="s">
        <v>381</v>
      </c>
      <c r="B382">
        <f>Inputs!$B$3/20*'Section Calcs'!$A$133</f>
        <v>6.3246769080712024</v>
      </c>
      <c r="C382" s="13">
        <f>'Section Calcs'!$W$132</f>
        <v>4.8514589937413644E-2</v>
      </c>
      <c r="D382" s="13">
        <f>'Section Calcs'!$W$135</f>
        <v>1.5267445869010648E-4</v>
      </c>
    </row>
    <row r="383" spans="1:4" x14ac:dyDescent="0.25">
      <c r="A383" t="s">
        <v>381</v>
      </c>
      <c r="B383">
        <f>Inputs!$B$3/20*'Section Calcs'!$A$133</f>
        <v>6.3246769080712024</v>
      </c>
      <c r="C383" s="13">
        <f>'Section Calcs'!$X$132</f>
        <v>0.1455437698122409</v>
      </c>
      <c r="D383" s="13">
        <f>'Section Calcs'!$X$135</f>
        <v>1.3821705012613875E-3</v>
      </c>
    </row>
    <row r="384" spans="1:4" x14ac:dyDescent="0.25">
      <c r="A384" t="s">
        <v>381</v>
      </c>
      <c r="B384">
        <f>Inputs!$B$3/20*'Section Calcs'!$A$133</f>
        <v>6.3246769080712024</v>
      </c>
      <c r="C384" s="13">
        <f>'Section Calcs'!$Y$132</f>
        <v>0.24257294968706822</v>
      </c>
      <c r="D384" s="13">
        <f>'Section Calcs'!$Y$135</f>
        <v>3.8962320303126243E-3</v>
      </c>
    </row>
    <row r="385" spans="1:4" x14ac:dyDescent="0.25">
      <c r="A385" t="s">
        <v>381</v>
      </c>
      <c r="B385">
        <f>Inputs!$B$3/20*'Section Calcs'!$A$133</f>
        <v>6.3246769080712024</v>
      </c>
      <c r="C385" s="13">
        <f>'Section Calcs'!$Z$132</f>
        <v>0.3396021295618955</v>
      </c>
      <c r="D385" s="13">
        <f>'Section Calcs'!$Z$135</f>
        <v>7.7517001642435556E-3</v>
      </c>
    </row>
    <row r="386" spans="1:4" x14ac:dyDescent="0.25">
      <c r="A386" t="s">
        <v>381</v>
      </c>
      <c r="B386">
        <f>Inputs!$B$3/20*'Section Calcs'!$A$133</f>
        <v>6.3246769080712024</v>
      </c>
      <c r="C386" s="13">
        <f>'Section Calcs'!$AA$132</f>
        <v>0.48514589937413644</v>
      </c>
      <c r="D386" s="13">
        <f>'Section Calcs'!$AA$135</f>
        <v>1.6157498887777906E-2</v>
      </c>
    </row>
    <row r="387" spans="1:4" x14ac:dyDescent="0.25">
      <c r="A387" t="s">
        <v>381</v>
      </c>
      <c r="B387">
        <f>Inputs!$B$3/20*'Section Calcs'!$A$133</f>
        <v>6.3246769080712024</v>
      </c>
      <c r="C387" s="13">
        <f>'Section Calcs'!$AB$132</f>
        <v>0.72771884906120454</v>
      </c>
      <c r="D387" s="13">
        <f>'Section Calcs'!$AB$135</f>
        <v>3.7484378513937378E-2</v>
      </c>
    </row>
    <row r="388" spans="1:4" x14ac:dyDescent="0.25">
      <c r="A388" t="s">
        <v>381</v>
      </c>
      <c r="B388">
        <f>Inputs!$B$3/20*'Section Calcs'!$A$133</f>
        <v>6.3246769080712024</v>
      </c>
      <c r="C388" s="13">
        <f>'Section Calcs'!$AC$132</f>
        <v>0.97029179874827287</v>
      </c>
      <c r="D388" s="13">
        <f>'Section Calcs'!$AC$135</f>
        <v>6.8309499516827313E-2</v>
      </c>
    </row>
    <row r="389" spans="1:4" x14ac:dyDescent="0.25">
      <c r="A389" t="s">
        <v>381</v>
      </c>
      <c r="B389">
        <f>Inputs!$B$3/20*'Section Calcs'!$A$133</f>
        <v>6.3246769080712024</v>
      </c>
      <c r="C389" s="13">
        <f>'Section Calcs'!$AD$132</f>
        <v>1.4554376981224091</v>
      </c>
      <c r="D389" s="13">
        <f>'Section Calcs'!$AD$135</f>
        <v>0.15884523341741333</v>
      </c>
    </row>
    <row r="390" spans="1:4" x14ac:dyDescent="0.25">
      <c r="A390" t="s">
        <v>381</v>
      </c>
      <c r="B390">
        <f>Inputs!$B$3/20*'Section Calcs'!$A$133</f>
        <v>6.3246769080712024</v>
      </c>
      <c r="C390" s="13">
        <f>'Section Calcs'!$AE$132</f>
        <v>1.9405835974965457</v>
      </c>
      <c r="D390" s="13">
        <f>'Section Calcs'!$AE$135</f>
        <v>0.28586674278371083</v>
      </c>
    </row>
    <row r="391" spans="1:4" x14ac:dyDescent="0.25">
      <c r="A391" t="s">
        <v>381</v>
      </c>
      <c r="B391">
        <f>Inputs!$B$3/20*'Section Calcs'!$A$133</f>
        <v>6.3246769080712024</v>
      </c>
      <c r="C391" s="13">
        <f>'Section Calcs'!$AF$132</f>
        <v>2.425729496870682</v>
      </c>
      <c r="D391" s="13">
        <f>'Section Calcs'!$AF$135</f>
        <v>0.44318888047380284</v>
      </c>
    </row>
    <row r="392" spans="1:4" x14ac:dyDescent="0.25">
      <c r="A392" t="s">
        <v>381</v>
      </c>
      <c r="B392">
        <f>Inputs!$B$3/20*'Section Calcs'!$A$133</f>
        <v>6.3246769080712024</v>
      </c>
      <c r="C392" s="13">
        <f>'Section Calcs'!$AG$132</f>
        <v>2.9108753962448182</v>
      </c>
      <c r="D392" s="13">
        <f>'Section Calcs'!$AG$135</f>
        <v>0.62033931000968223</v>
      </c>
    </row>
    <row r="393" spans="1:4" x14ac:dyDescent="0.25">
      <c r="A393" t="s">
        <v>381</v>
      </c>
      <c r="B393">
        <f>Inputs!$B$3/20*'Section Calcs'!$A$133</f>
        <v>6.3246769080712024</v>
      </c>
      <c r="C393" s="13">
        <f>'Section Calcs'!$AH$132</f>
        <v>3.3960212956189544</v>
      </c>
      <c r="D393" s="13">
        <f>'Section Calcs'!$AH$135</f>
        <v>0.80255850557725184</v>
      </c>
    </row>
    <row r="394" spans="1:4" x14ac:dyDescent="0.25">
      <c r="A394" t="s">
        <v>381</v>
      </c>
      <c r="B394">
        <f>Inputs!$B$3/20*'Section Calcs'!$A$133</f>
        <v>6.3246769080712024</v>
      </c>
      <c r="C394" s="13">
        <f>'Section Calcs'!$AI$132</f>
        <v>3.8811671949930915</v>
      </c>
      <c r="D394" s="13">
        <f>'Section Calcs'!$AI$135</f>
        <v>0.97079975202632318</v>
      </c>
    </row>
    <row r="395" spans="1:4" x14ac:dyDescent="0.25">
      <c r="A395" t="s">
        <v>381</v>
      </c>
      <c r="B395">
        <f>Inputs!$B$3/20*'Section Calcs'!$A$133</f>
        <v>6.3246769080712024</v>
      </c>
      <c r="C395" s="13">
        <f>'Section Calcs'!$AJ$132</f>
        <v>4.3663130943672277</v>
      </c>
      <c r="D395" s="13">
        <f>'Section Calcs'!$AJ$135</f>
        <v>1.1017291448706124</v>
      </c>
    </row>
    <row r="396" spans="1:4" x14ac:dyDescent="0.25">
      <c r="A396" t="s">
        <v>381</v>
      </c>
      <c r="B396">
        <f>Inputs!$B$3/20*'Section Calcs'!$A$133</f>
        <v>6.3246769080712024</v>
      </c>
      <c r="C396" s="13">
        <f>'Section Calcs'!$AK$132</f>
        <v>4.8514589937413639</v>
      </c>
      <c r="D396" s="13">
        <f>'Section Calcs'!$AK$135</f>
        <v>1.1677255902877577</v>
      </c>
    </row>
    <row r="397" spans="1:4" x14ac:dyDescent="0.25">
      <c r="A397" t="s">
        <v>381</v>
      </c>
      <c r="B397">
        <f>Inputs!$B$3/20*'Section Calcs'!$A$133</f>
        <v>6.3246769080712024</v>
      </c>
      <c r="C397" s="13">
        <f>'Section Calcs'!$AL$132</f>
        <v>6.3029825550590042</v>
      </c>
      <c r="D397" s="13">
        <f>'Section Calcs'!$AL$135</f>
        <v>1.3100043233101375</v>
      </c>
    </row>
    <row r="398" spans="1:4" x14ac:dyDescent="0.25">
      <c r="A398" t="s">
        <v>381</v>
      </c>
      <c r="B398">
        <f>Inputs!$B$3/20*'Section Calcs'!$A$133</f>
        <v>6.3246769080712024</v>
      </c>
      <c r="C398" s="13">
        <f>'Section Calcs'!$AM$132</f>
        <v>7.7545061163766444</v>
      </c>
      <c r="D398" s="13">
        <f>'Section Calcs'!$AM$135</f>
        <v>1.5977088423028389</v>
      </c>
    </row>
    <row r="399" spans="1:4" x14ac:dyDescent="0.25">
      <c r="A399" t="s">
        <v>381</v>
      </c>
      <c r="B399">
        <f>Inputs!$B$3/20*'Section Calcs'!$A$133</f>
        <v>6.3246769080712024</v>
      </c>
      <c r="C399" s="13">
        <f>'Section Calcs'!$AN$132</f>
        <v>9.2060296776942856</v>
      </c>
      <c r="D399" s="13">
        <f>'Section Calcs'!$AN$135</f>
        <v>2.030839147265862</v>
      </c>
    </row>
    <row r="400" spans="1:4" x14ac:dyDescent="0.25">
      <c r="A400" t="s">
        <v>381</v>
      </c>
      <c r="B400">
        <f>Inputs!$B$3/20*'Section Calcs'!$A$133</f>
        <v>6.3246769080712024</v>
      </c>
      <c r="C400" s="13">
        <f>'Section Calcs'!$AO$132</f>
        <v>10.657553239011925</v>
      </c>
      <c r="D400" s="13">
        <f>'Section Calcs'!$AO$135</f>
        <v>2.6093952381992067</v>
      </c>
    </row>
    <row r="401" spans="1:4" x14ac:dyDescent="0.25">
      <c r="A401" t="s">
        <v>381</v>
      </c>
      <c r="B401">
        <v>0</v>
      </c>
      <c r="C401" s="13">
        <f>'Section Calcs'!$AK$137</f>
        <v>4.8514589937413639</v>
      </c>
      <c r="D401" s="13">
        <f>'Section Calcs'!$AK$140</f>
        <v>0</v>
      </c>
    </row>
    <row r="402" spans="1:4" x14ac:dyDescent="0.25">
      <c r="A402" t="s">
        <v>381</v>
      </c>
      <c r="B402">
        <v>0</v>
      </c>
      <c r="C402" s="13">
        <f>'Section Calcs'!$AL$137</f>
        <v>6.4175142136774248</v>
      </c>
      <c r="D402" s="13">
        <f>'Section Calcs'!$AL$140</f>
        <v>0.11278119606000885</v>
      </c>
    </row>
    <row r="403" spans="1:4" x14ac:dyDescent="0.25">
      <c r="A403" t="s">
        <v>381</v>
      </c>
      <c r="B403">
        <v>0</v>
      </c>
      <c r="C403" s="13">
        <f>'Section Calcs'!$AM$137</f>
        <v>7.9835694336134848</v>
      </c>
      <c r="D403" s="13">
        <f>'Section Calcs'!$AM$140</f>
        <v>0.36691156815107367</v>
      </c>
    </row>
    <row r="404" spans="1:4" x14ac:dyDescent="0.25">
      <c r="A404" t="s">
        <v>381</v>
      </c>
      <c r="B404">
        <v>0</v>
      </c>
      <c r="C404" s="13">
        <f>'Section Calcs'!$AN$137</f>
        <v>9.5496246535495448</v>
      </c>
      <c r="D404" s="13">
        <f>'Section Calcs'!$AN$140</f>
        <v>0.76239111627319445</v>
      </c>
    </row>
    <row r="405" spans="1:4" x14ac:dyDescent="0.25">
      <c r="A405" t="s">
        <v>381</v>
      </c>
      <c r="B405">
        <v>0</v>
      </c>
      <c r="C405" s="13">
        <f>'Section Calcs'!$AO$137</f>
        <v>11.115679873485606</v>
      </c>
      <c r="D405" s="13">
        <f>'Section Calcs'!$AO$140</f>
        <v>1.2992198404263713</v>
      </c>
    </row>
    <row r="406" spans="1:4" x14ac:dyDescent="0.25">
      <c r="A406" t="s">
        <v>381</v>
      </c>
      <c r="B406" s="13">
        <f>-'Profile Calcs'!B6</f>
        <v>63.246769080712021</v>
      </c>
      <c r="C406" s="13">
        <f>'Profile Calcs'!C6</f>
        <v>8.9612289685442565</v>
      </c>
      <c r="D406">
        <v>0</v>
      </c>
    </row>
    <row r="407" spans="1:4" x14ac:dyDescent="0.25">
      <c r="A407" t="s">
        <v>381</v>
      </c>
      <c r="B407" s="13">
        <f>-'Profile Calcs'!B7</f>
        <v>56.413057398900058</v>
      </c>
      <c r="C407" s="13">
        <f>'Profile Calcs'!C7</f>
        <v>8.992473468544258</v>
      </c>
      <c r="D407">
        <v>0</v>
      </c>
    </row>
    <row r="408" spans="1:4" x14ac:dyDescent="0.25">
      <c r="A408" t="s">
        <v>381</v>
      </c>
      <c r="B408" s="13">
        <f>-'Profile Calcs'!B8</f>
        <v>49.579345717088096</v>
      </c>
      <c r="C408" s="13">
        <f>'Profile Calcs'!C8</f>
        <v>9.0869969685442573</v>
      </c>
      <c r="D408">
        <v>0</v>
      </c>
    </row>
    <row r="409" spans="1:4" x14ac:dyDescent="0.25">
      <c r="A409" t="s">
        <v>381</v>
      </c>
      <c r="B409" s="13">
        <f>-'Profile Calcs'!B9</f>
        <v>42.745634035276133</v>
      </c>
      <c r="C409" s="13">
        <f>'Profile Calcs'!C9</f>
        <v>9.244799468544258</v>
      </c>
      <c r="D409">
        <v>0</v>
      </c>
    </row>
    <row r="410" spans="1:4" x14ac:dyDescent="0.25">
      <c r="A410" t="s">
        <v>381</v>
      </c>
      <c r="B410" s="13">
        <f>-'Profile Calcs'!B10</f>
        <v>35.91192235346417</v>
      </c>
      <c r="C410" s="13">
        <f>'Profile Calcs'!C10</f>
        <v>9.4658809685442566</v>
      </c>
      <c r="D410">
        <v>0</v>
      </c>
    </row>
    <row r="411" spans="1:4" x14ac:dyDescent="0.25">
      <c r="A411" t="s">
        <v>381</v>
      </c>
      <c r="B411" s="13">
        <f>-'Profile Calcs'!B11</f>
        <v>29.078210671652208</v>
      </c>
      <c r="C411" s="13">
        <f>'Profile Calcs'!C11</f>
        <v>9.7502414685442567</v>
      </c>
      <c r="D411">
        <v>0</v>
      </c>
    </row>
    <row r="412" spans="1:4" x14ac:dyDescent="0.25">
      <c r="A412" t="s">
        <v>381</v>
      </c>
      <c r="B412" s="13">
        <f>-'Profile Calcs'!B12</f>
        <v>22.244498989840245</v>
      </c>
      <c r="C412" s="13">
        <f>'Profile Calcs'!C12</f>
        <v>10.097880968544258</v>
      </c>
      <c r="D412">
        <v>0</v>
      </c>
    </row>
    <row r="413" spans="1:4" x14ac:dyDescent="0.25">
      <c r="A413" t="s">
        <v>381</v>
      </c>
      <c r="B413" s="13">
        <f>-'Profile Calcs'!B13</f>
        <v>15.410787308028283</v>
      </c>
      <c r="C413" s="13">
        <f>'Profile Calcs'!C13</f>
        <v>10.508799468544256</v>
      </c>
      <c r="D413">
        <v>0</v>
      </c>
    </row>
    <row r="414" spans="1:4" x14ac:dyDescent="0.25">
      <c r="A414" t="s">
        <v>381</v>
      </c>
      <c r="B414" s="13">
        <f>-'Profile Calcs'!B14</f>
        <v>8.5770756262163204</v>
      </c>
      <c r="C414" s="13">
        <f>'Profile Calcs'!C14</f>
        <v>10.982996968544258</v>
      </c>
      <c r="D414">
        <v>0</v>
      </c>
    </row>
    <row r="415" spans="1:4" x14ac:dyDescent="0.25">
      <c r="A415" t="s">
        <v>381</v>
      </c>
      <c r="B415" s="13">
        <f>-'Profile Calcs'!B15</f>
        <v>1.7433639444043578</v>
      </c>
      <c r="C415" s="13">
        <f>'Profile Calcs'!C15</f>
        <v>11.520473468544258</v>
      </c>
      <c r="D415">
        <v>0</v>
      </c>
    </row>
    <row r="416" spans="1:4" x14ac:dyDescent="0.25">
      <c r="A416" t="s">
        <v>381</v>
      </c>
      <c r="B416" s="13">
        <f>-'Profile Calcs'!B16</f>
        <v>-5.0903477374075976</v>
      </c>
      <c r="C416" s="13">
        <f>'Profile Calcs'!C16</f>
        <v>12.121228968544258</v>
      </c>
      <c r="D416">
        <v>0</v>
      </c>
    </row>
    <row r="417" spans="1:4" x14ac:dyDescent="0.25">
      <c r="A417" t="s">
        <v>381</v>
      </c>
      <c r="B417" s="13">
        <f>-'Profile Calcs'!B17</f>
        <v>0</v>
      </c>
      <c r="C417" s="13">
        <f>'Profile Calcs'!C17</f>
        <v>4.8514589937413639</v>
      </c>
      <c r="D417">
        <v>0</v>
      </c>
    </row>
    <row r="418" spans="1:4" x14ac:dyDescent="0.25">
      <c r="A418" t="s">
        <v>381</v>
      </c>
      <c r="B418" s="13">
        <f>-'Profile Calcs'!B18</f>
        <v>1.1323427195776656</v>
      </c>
      <c r="C418" s="13">
        <f>'Profile Calcs'!C18</f>
        <v>3.2343059958275759</v>
      </c>
      <c r="D418">
        <v>0</v>
      </c>
    </row>
    <row r="419" spans="1:4" x14ac:dyDescent="0.25">
      <c r="A419" t="s">
        <v>381</v>
      </c>
      <c r="B419" s="13">
        <f>-'Profile Calcs'!B19</f>
        <v>2.2646854391553313</v>
      </c>
      <c r="C419" s="13">
        <f>'Profile Calcs'!C19</f>
        <v>1.617152997913788</v>
      </c>
      <c r="D419">
        <v>0</v>
      </c>
    </row>
    <row r="420" spans="1:4" x14ac:dyDescent="0.25">
      <c r="A420" t="s">
        <v>381</v>
      </c>
      <c r="B420" s="13">
        <f>-'Profile Calcs'!B20</f>
        <v>3.3970281587329967</v>
      </c>
      <c r="C420" s="13">
        <f>'Profile Calcs'!C20</f>
        <v>0</v>
      </c>
      <c r="D420">
        <v>0</v>
      </c>
    </row>
    <row r="421" spans="1:4" x14ac:dyDescent="0.25">
      <c r="A421" t="s">
        <v>381</v>
      </c>
      <c r="B421" s="13">
        <f>-'Profile Calcs'!B21</f>
        <v>23.718351707221874</v>
      </c>
      <c r="C421" s="13">
        <f>'Profile Calcs'!C21</f>
        <v>0</v>
      </c>
      <c r="D421">
        <v>0</v>
      </c>
    </row>
    <row r="422" spans="1:4" x14ac:dyDescent="0.25">
      <c r="A422" t="s">
        <v>381</v>
      </c>
      <c r="B422" s="13">
        <f>-'Profile Calcs'!B22</f>
        <v>47.436703414443748</v>
      </c>
      <c r="C422" s="13">
        <f>'Profile Calcs'!C22</f>
        <v>0</v>
      </c>
      <c r="D422">
        <v>0</v>
      </c>
    </row>
    <row r="423" spans="1:4" x14ac:dyDescent="0.25">
      <c r="A423" t="s">
        <v>381</v>
      </c>
      <c r="B423" s="13">
        <f>-'Profile Calcs'!B23</f>
        <v>74.55208328039862</v>
      </c>
      <c r="C423" s="13">
        <f>'Profile Calcs'!C23</f>
        <v>0</v>
      </c>
      <c r="D423">
        <v>0</v>
      </c>
    </row>
    <row r="424" spans="1:4" x14ac:dyDescent="0.25">
      <c r="A424" t="s">
        <v>381</v>
      </c>
      <c r="B424" s="13">
        <f>-'Profile Calcs'!B24</f>
        <v>83.119452093876717</v>
      </c>
      <c r="C424" s="13">
        <f>'Profile Calcs'!C24</f>
        <v>0.12235796643017238</v>
      </c>
      <c r="D424">
        <v>0</v>
      </c>
    </row>
    <row r="425" spans="1:4" x14ac:dyDescent="0.25">
      <c r="A425" t="s">
        <v>381</v>
      </c>
      <c r="B425" s="13">
        <f>-'Profile Calcs'!B25</f>
        <v>91.679832335183647</v>
      </c>
      <c r="C425" s="13">
        <f>'Profile Calcs'!C25</f>
        <v>0.48933205590770967</v>
      </c>
      <c r="D425">
        <v>0</v>
      </c>
    </row>
    <row r="426" spans="1:4" x14ac:dyDescent="0.25">
      <c r="A426" t="s">
        <v>381</v>
      </c>
      <c r="B426" s="13">
        <f>-'Profile Calcs'!B26</f>
        <v>100.22624113286477</v>
      </c>
      <c r="C426" s="13">
        <f>'Profile Calcs'!C26</f>
        <v>1.1006229204104443</v>
      </c>
      <c r="D426">
        <v>0</v>
      </c>
    </row>
    <row r="427" spans="1:4" x14ac:dyDescent="0.25">
      <c r="A427" t="s">
        <v>381</v>
      </c>
      <c r="B427" s="13">
        <f>-'Profile Calcs'!B27</f>
        <v>108.75170701224835</v>
      </c>
      <c r="C427" s="13">
        <f>'Profile Calcs'!C27</f>
        <v>1.9557319178912849</v>
      </c>
      <c r="D427">
        <v>0</v>
      </c>
    </row>
    <row r="428" spans="1:4" x14ac:dyDescent="0.25">
      <c r="A428" t="s">
        <v>381</v>
      </c>
      <c r="B428" s="13">
        <f>-'Profile Calcs'!B28</f>
        <v>126.3061894202522</v>
      </c>
      <c r="C428" s="13">
        <f>'Profile Calcs'!C28</f>
        <v>3.9700524650514581</v>
      </c>
      <c r="D428">
        <v>0</v>
      </c>
    </row>
    <row r="429" spans="1:4" x14ac:dyDescent="0.25">
      <c r="A429" t="s">
        <v>381</v>
      </c>
      <c r="B429" s="13">
        <f>-'Profile Calcs'!B29</f>
        <v>126.49353816142404</v>
      </c>
      <c r="C429" s="13">
        <f>'Profile Calcs'!C29</f>
        <v>4.8514589937413639</v>
      </c>
      <c r="D429">
        <v>0</v>
      </c>
    </row>
    <row r="430" spans="1:4" x14ac:dyDescent="0.25">
      <c r="A430" t="s">
        <v>381</v>
      </c>
      <c r="B430" s="13">
        <f>-'Profile Calcs'!B30</f>
        <v>127.47337501735782</v>
      </c>
      <c r="C430" s="13">
        <f>'Profile Calcs'!C30</f>
        <v>9.4612289685442565</v>
      </c>
      <c r="D430">
        <v>0</v>
      </c>
    </row>
    <row r="431" spans="1:4" x14ac:dyDescent="0.25">
      <c r="A431" t="s">
        <v>381</v>
      </c>
      <c r="B431" s="13">
        <f>-'Profile Calcs'!B31</f>
        <v>121.05071442369319</v>
      </c>
      <c r="C431" s="13">
        <f>'Profile Calcs'!C31</f>
        <v>9.4112289685442629</v>
      </c>
      <c r="D431">
        <v>0</v>
      </c>
    </row>
    <row r="432" spans="1:4" x14ac:dyDescent="0.25">
      <c r="A432" t="s">
        <v>381</v>
      </c>
      <c r="B432" s="13">
        <f>-'Profile Calcs'!B32</f>
        <v>114.62805383002862</v>
      </c>
      <c r="C432" s="13">
        <f>'Profile Calcs'!C32</f>
        <v>9.3612289685442622</v>
      </c>
      <c r="D432">
        <v>0</v>
      </c>
    </row>
    <row r="433" spans="1:4" x14ac:dyDescent="0.25">
      <c r="A433" t="s">
        <v>381</v>
      </c>
      <c r="B433" s="13">
        <f>-'Profile Calcs'!B33</f>
        <v>108.20539323636405</v>
      </c>
      <c r="C433" s="13">
        <f>'Profile Calcs'!C33</f>
        <v>9.3112289685442615</v>
      </c>
      <c r="D433">
        <v>0</v>
      </c>
    </row>
    <row r="434" spans="1:4" x14ac:dyDescent="0.25">
      <c r="A434" t="s">
        <v>381</v>
      </c>
      <c r="B434" s="13">
        <f>-'Profile Calcs'!B34</f>
        <v>101.78273264269947</v>
      </c>
      <c r="C434" s="13">
        <f>'Profile Calcs'!C34</f>
        <v>9.2612289685442608</v>
      </c>
      <c r="D434">
        <v>0</v>
      </c>
    </row>
    <row r="435" spans="1:4" x14ac:dyDescent="0.25">
      <c r="A435" t="s">
        <v>381</v>
      </c>
      <c r="B435" s="13">
        <f>-'Profile Calcs'!B35</f>
        <v>95.360072049034898</v>
      </c>
      <c r="C435" s="13">
        <f>'Profile Calcs'!C35</f>
        <v>9.2112289685442601</v>
      </c>
      <c r="D435">
        <v>0</v>
      </c>
    </row>
    <row r="436" spans="1:4" x14ac:dyDescent="0.25">
      <c r="A436" t="s">
        <v>381</v>
      </c>
      <c r="B436" s="13">
        <f>-'Profile Calcs'!B36</f>
        <v>88.937411455370324</v>
      </c>
      <c r="C436" s="13">
        <f>'Profile Calcs'!C36</f>
        <v>9.1612289685442594</v>
      </c>
      <c r="D436">
        <v>0</v>
      </c>
    </row>
    <row r="437" spans="1:4" x14ac:dyDescent="0.25">
      <c r="A437" t="s">
        <v>381</v>
      </c>
      <c r="B437" s="13">
        <f>-'Profile Calcs'!B37</f>
        <v>82.51475086170575</v>
      </c>
      <c r="C437" s="13">
        <f>'Profile Calcs'!C37</f>
        <v>9.1112289685442587</v>
      </c>
      <c r="D437">
        <v>0</v>
      </c>
    </row>
    <row r="438" spans="1:4" x14ac:dyDescent="0.25">
      <c r="A438" t="s">
        <v>381</v>
      </c>
      <c r="B438" s="13">
        <f>-'Profile Calcs'!B38</f>
        <v>76.092090268041176</v>
      </c>
      <c r="C438" s="13">
        <f>'Profile Calcs'!C38</f>
        <v>9.061228968544258</v>
      </c>
      <c r="D438">
        <v>0</v>
      </c>
    </row>
    <row r="439" spans="1:4" x14ac:dyDescent="0.25">
      <c r="A439" t="s">
        <v>381</v>
      </c>
      <c r="B439" s="13">
        <f>-'Profile Calcs'!B39</f>
        <v>69.669429674376602</v>
      </c>
      <c r="C439" s="13">
        <f>'Profile Calcs'!C39</f>
        <v>9.0112289685442573</v>
      </c>
      <c r="D439">
        <v>0</v>
      </c>
    </row>
    <row r="440" spans="1:4" x14ac:dyDescent="0.25">
      <c r="A440" t="s">
        <v>381</v>
      </c>
      <c r="B440" s="13">
        <f>B1</f>
        <v>126.49353816142406</v>
      </c>
      <c r="C440" s="13">
        <f>C1</f>
        <v>3.9920961237765931</v>
      </c>
      <c r="D440" s="13">
        <f>-D1</f>
        <v>0</v>
      </c>
    </row>
    <row r="441" spans="1:4" x14ac:dyDescent="0.25">
      <c r="A441" t="s">
        <v>381</v>
      </c>
      <c r="B441" s="13">
        <f t="shared" ref="B441:C456" si="0">B2</f>
        <v>126.49353816142406</v>
      </c>
      <c r="C441" s="13">
        <f t="shared" si="0"/>
        <v>4.0006897524762408</v>
      </c>
      <c r="D441" s="13">
        <f t="shared" ref="D441:D504" si="1">-D2</f>
        <v>-5.2937166452104896E-2</v>
      </c>
    </row>
    <row r="442" spans="1:4" x14ac:dyDescent="0.25">
      <c r="A442" t="s">
        <v>381</v>
      </c>
      <c r="B442" s="13">
        <f t="shared" si="0"/>
        <v>126.49353816142406</v>
      </c>
      <c r="C442" s="13">
        <f t="shared" si="0"/>
        <v>4.0178770098755363</v>
      </c>
      <c r="D442" s="13">
        <f t="shared" si="1"/>
        <v>-0.16544872632776214</v>
      </c>
    </row>
    <row r="443" spans="1:4" x14ac:dyDescent="0.25">
      <c r="A443" t="s">
        <v>381</v>
      </c>
      <c r="B443" s="13">
        <f t="shared" si="0"/>
        <v>126.49353816142406</v>
      </c>
      <c r="C443" s="13">
        <f t="shared" si="0"/>
        <v>4.0350642672748318</v>
      </c>
      <c r="D443" s="13">
        <f t="shared" si="1"/>
        <v>-0.2859545022834683</v>
      </c>
    </row>
    <row r="444" spans="1:4" x14ac:dyDescent="0.25">
      <c r="A444" t="s">
        <v>381</v>
      </c>
      <c r="B444" s="13">
        <f t="shared" si="0"/>
        <v>126.49353816142406</v>
      </c>
      <c r="C444" s="13">
        <f t="shared" si="0"/>
        <v>4.0522515246741273</v>
      </c>
      <c r="D444" s="13">
        <f t="shared" si="1"/>
        <v>-0.41345969721352932</v>
      </c>
    </row>
    <row r="445" spans="1:4" x14ac:dyDescent="0.25">
      <c r="A445" t="s">
        <v>381</v>
      </c>
      <c r="B445" s="13">
        <f t="shared" si="0"/>
        <v>126.49353816142406</v>
      </c>
      <c r="C445" s="13">
        <f t="shared" si="0"/>
        <v>4.0780324107730701</v>
      </c>
      <c r="D445" s="13">
        <f t="shared" si="1"/>
        <v>-0.61575445675841423</v>
      </c>
    </row>
    <row r="446" spans="1:4" x14ac:dyDescent="0.25">
      <c r="A446" t="s">
        <v>381</v>
      </c>
      <c r="B446" s="13">
        <f t="shared" si="0"/>
        <v>126.49353816142406</v>
      </c>
      <c r="C446" s="13">
        <f t="shared" si="0"/>
        <v>4.1210005542713084</v>
      </c>
      <c r="D446" s="13">
        <f t="shared" si="1"/>
        <v>-0.97484699466596947</v>
      </c>
    </row>
    <row r="447" spans="1:4" x14ac:dyDescent="0.25">
      <c r="A447" t="s">
        <v>381</v>
      </c>
      <c r="B447" s="13">
        <f t="shared" si="0"/>
        <v>126.49353816142406</v>
      </c>
      <c r="C447" s="13">
        <f t="shared" si="0"/>
        <v>4.1639686977695476</v>
      </c>
      <c r="D447" s="13">
        <f t="shared" si="1"/>
        <v>-1.3500947272724113</v>
      </c>
    </row>
    <row r="448" spans="1:4" x14ac:dyDescent="0.25">
      <c r="A448" t="s">
        <v>381</v>
      </c>
      <c r="B448" s="13">
        <f t="shared" si="0"/>
        <v>126.49353816142406</v>
      </c>
      <c r="C448" s="13">
        <f t="shared" si="0"/>
        <v>4.2499049847660242</v>
      </c>
      <c r="D448" s="13">
        <f t="shared" si="1"/>
        <v>-2.103583621772787</v>
      </c>
    </row>
    <row r="449" spans="1:4" x14ac:dyDescent="0.25">
      <c r="A449" t="s">
        <v>381</v>
      </c>
      <c r="B449" s="13">
        <f t="shared" si="0"/>
        <v>126.49353816142406</v>
      </c>
      <c r="C449" s="13">
        <f t="shared" si="0"/>
        <v>4.3358412717625017</v>
      </c>
      <c r="D449" s="13">
        <f t="shared" si="1"/>
        <v>-2.7994316308926606</v>
      </c>
    </row>
    <row r="450" spans="1:4" x14ac:dyDescent="0.25">
      <c r="A450" t="s">
        <v>381</v>
      </c>
      <c r="B450" s="13">
        <f t="shared" si="0"/>
        <v>126.49353816142406</v>
      </c>
      <c r="C450" s="13">
        <f t="shared" si="0"/>
        <v>4.4217775587589783</v>
      </c>
      <c r="D450" s="13">
        <f t="shared" si="1"/>
        <v>-3.3834969256674712</v>
      </c>
    </row>
    <row r="451" spans="1:4" x14ac:dyDescent="0.25">
      <c r="A451" t="s">
        <v>381</v>
      </c>
      <c r="B451" s="13">
        <f t="shared" si="0"/>
        <v>126.49353816142406</v>
      </c>
      <c r="C451" s="13">
        <f t="shared" si="0"/>
        <v>4.5077138457554558</v>
      </c>
      <c r="D451" s="13">
        <f t="shared" si="1"/>
        <v>-3.8242853575349827</v>
      </c>
    </row>
    <row r="452" spans="1:4" x14ac:dyDescent="0.25">
      <c r="A452" t="s">
        <v>381</v>
      </c>
      <c r="B452" s="13">
        <f t="shared" si="0"/>
        <v>126.49353816142406</v>
      </c>
      <c r="C452" s="13">
        <f t="shared" si="0"/>
        <v>4.5936501327519323</v>
      </c>
      <c r="D452" s="13">
        <f t="shared" si="1"/>
        <v>-4.1129504583352805</v>
      </c>
    </row>
    <row r="453" spans="1:4" x14ac:dyDescent="0.25">
      <c r="A453" t="s">
        <v>381</v>
      </c>
      <c r="B453" s="13">
        <f t="shared" si="0"/>
        <v>126.49353816142406</v>
      </c>
      <c r="C453" s="13">
        <f t="shared" si="0"/>
        <v>4.6795864197484098</v>
      </c>
      <c r="D453" s="13">
        <f t="shared" si="1"/>
        <v>-4.2632934403107807</v>
      </c>
    </row>
    <row r="454" spans="1:4" x14ac:dyDescent="0.25">
      <c r="A454" t="s">
        <v>381</v>
      </c>
      <c r="B454" s="13">
        <f t="shared" si="0"/>
        <v>126.49353816142406</v>
      </c>
      <c r="C454" s="13">
        <f t="shared" si="0"/>
        <v>4.7655227067448864</v>
      </c>
      <c r="D454" s="13">
        <f t="shared" si="1"/>
        <v>-4.3117631961061811</v>
      </c>
    </row>
    <row r="455" spans="1:4" x14ac:dyDescent="0.25">
      <c r="A455" t="s">
        <v>381</v>
      </c>
      <c r="B455" s="13">
        <f t="shared" si="0"/>
        <v>126.49353816142406</v>
      </c>
      <c r="C455" s="13">
        <f t="shared" si="0"/>
        <v>4.8514589937413639</v>
      </c>
      <c r="D455" s="13">
        <f t="shared" si="1"/>
        <v>-4.3174562987685938</v>
      </c>
    </row>
    <row r="456" spans="1:4" x14ac:dyDescent="0.25">
      <c r="A456" t="s">
        <v>381</v>
      </c>
      <c r="B456" s="13">
        <f t="shared" si="0"/>
        <v>126.49353816142406</v>
      </c>
      <c r="C456" s="13">
        <f t="shared" si="0"/>
        <v>6.0019944988356464</v>
      </c>
      <c r="D456" s="13">
        <f t="shared" si="1"/>
        <v>-4.4193017708410149</v>
      </c>
    </row>
    <row r="457" spans="1:4" x14ac:dyDescent="0.25">
      <c r="A457" t="s">
        <v>381</v>
      </c>
      <c r="B457" s="13">
        <f t="shared" ref="B457:C472" si="2">B18</f>
        <v>126.49353816142406</v>
      </c>
      <c r="C457" s="13">
        <f t="shared" si="2"/>
        <v>7.1525300039299289</v>
      </c>
      <c r="D457" s="13">
        <f t="shared" si="1"/>
        <v>-4.4660287061590669</v>
      </c>
    </row>
    <row r="458" spans="1:4" x14ac:dyDescent="0.25">
      <c r="A458" t="s">
        <v>381</v>
      </c>
      <c r="B458" s="13">
        <f t="shared" si="2"/>
        <v>126.49353816142406</v>
      </c>
      <c r="C458" s="13">
        <f t="shared" si="2"/>
        <v>8.3030655090242114</v>
      </c>
      <c r="D458" s="13">
        <f t="shared" si="1"/>
        <v>-4.4576371047227505</v>
      </c>
    </row>
    <row r="459" spans="1:4" x14ac:dyDescent="0.25">
      <c r="A459" t="s">
        <v>381</v>
      </c>
      <c r="B459" s="13">
        <f t="shared" si="2"/>
        <v>126.49353816142406</v>
      </c>
      <c r="C459" s="13">
        <f t="shared" si="2"/>
        <v>9.4536010141184939</v>
      </c>
      <c r="D459" s="13">
        <f t="shared" si="1"/>
        <v>-4.394126966532065</v>
      </c>
    </row>
    <row r="460" spans="1:4" x14ac:dyDescent="0.25">
      <c r="A460" t="s">
        <v>381</v>
      </c>
      <c r="B460" s="13">
        <f t="shared" si="2"/>
        <v>120.16886125335284</v>
      </c>
      <c r="C460" s="13">
        <f t="shared" si="2"/>
        <v>3.2501121381991185</v>
      </c>
      <c r="D460" s="13">
        <f t="shared" si="1"/>
        <v>0</v>
      </c>
    </row>
    <row r="461" spans="1:4" x14ac:dyDescent="0.25">
      <c r="A461" t="s">
        <v>381</v>
      </c>
      <c r="B461" s="13">
        <f t="shared" si="2"/>
        <v>120.16886125335284</v>
      </c>
      <c r="C461" s="13">
        <f t="shared" si="2"/>
        <v>3.266125606754541</v>
      </c>
      <c r="D461" s="13">
        <f t="shared" si="1"/>
        <v>-4.8388364445049466E-2</v>
      </c>
    </row>
    <row r="462" spans="1:4" x14ac:dyDescent="0.25">
      <c r="A462" t="s">
        <v>381</v>
      </c>
      <c r="B462" s="13">
        <f t="shared" si="2"/>
        <v>120.16886125335284</v>
      </c>
      <c r="C462" s="13">
        <f t="shared" si="2"/>
        <v>3.298152543865386</v>
      </c>
      <c r="D462" s="13">
        <f t="shared" si="1"/>
        <v>-0.15447795553391994</v>
      </c>
    </row>
    <row r="463" spans="1:4" x14ac:dyDescent="0.25">
      <c r="A463" t="s">
        <v>381</v>
      </c>
      <c r="B463" s="13">
        <f t="shared" si="2"/>
        <v>120.16886125335284</v>
      </c>
      <c r="C463" s="13">
        <f t="shared" si="2"/>
        <v>3.3301794809762306</v>
      </c>
      <c r="D463" s="13">
        <f t="shared" si="1"/>
        <v>-0.27188146294275328</v>
      </c>
    </row>
    <row r="464" spans="1:4" x14ac:dyDescent="0.25">
      <c r="A464" t="s">
        <v>381</v>
      </c>
      <c r="B464" s="13">
        <f t="shared" si="2"/>
        <v>120.16886125335284</v>
      </c>
      <c r="C464" s="13">
        <f t="shared" si="2"/>
        <v>3.3622064180870757</v>
      </c>
      <c r="D464" s="13">
        <f t="shared" si="1"/>
        <v>-0.39931563862409036</v>
      </c>
    </row>
    <row r="465" spans="1:4" x14ac:dyDescent="0.25">
      <c r="A465" t="s">
        <v>381</v>
      </c>
      <c r="B465" s="13">
        <f t="shared" si="2"/>
        <v>120.16886125335284</v>
      </c>
      <c r="C465" s="13">
        <f t="shared" si="2"/>
        <v>3.4102468237533432</v>
      </c>
      <c r="D465" s="13">
        <f t="shared" si="1"/>
        <v>-0.60658157723434158</v>
      </c>
    </row>
    <row r="466" spans="1:4" x14ac:dyDescent="0.25">
      <c r="A466" t="s">
        <v>381</v>
      </c>
      <c r="B466" s="13">
        <f t="shared" si="2"/>
        <v>120.16886125335284</v>
      </c>
      <c r="C466" s="13">
        <f t="shared" si="2"/>
        <v>3.4903141665304553</v>
      </c>
      <c r="D466" s="13">
        <f t="shared" si="1"/>
        <v>-0.98531933859008525</v>
      </c>
    </row>
    <row r="467" spans="1:4" x14ac:dyDescent="0.25">
      <c r="A467" t="s">
        <v>381</v>
      </c>
      <c r="B467" s="13">
        <f t="shared" si="2"/>
        <v>120.16886125335284</v>
      </c>
      <c r="C467" s="13">
        <f t="shared" si="2"/>
        <v>3.5703815093075675</v>
      </c>
      <c r="D467" s="13">
        <f t="shared" si="1"/>
        <v>-1.3911276662351226</v>
      </c>
    </row>
    <row r="468" spans="1:4" x14ac:dyDescent="0.25">
      <c r="A468" t="s">
        <v>381</v>
      </c>
      <c r="B468" s="13">
        <f t="shared" si="2"/>
        <v>120.16886125335284</v>
      </c>
      <c r="C468" s="13">
        <f t="shared" si="2"/>
        <v>3.7305161948617922</v>
      </c>
      <c r="D468" s="13">
        <f t="shared" si="1"/>
        <v>-2.2251573148426997</v>
      </c>
    </row>
    <row r="469" spans="1:4" x14ac:dyDescent="0.25">
      <c r="A469" t="s">
        <v>381</v>
      </c>
      <c r="B469" s="13">
        <f t="shared" si="2"/>
        <v>120.16886125335284</v>
      </c>
      <c r="C469" s="13">
        <f t="shared" si="2"/>
        <v>3.8906508804160165</v>
      </c>
      <c r="D469" s="13">
        <f t="shared" si="1"/>
        <v>-3.0092123470544858</v>
      </c>
    </row>
    <row r="470" spans="1:4" x14ac:dyDescent="0.25">
      <c r="A470" t="s">
        <v>381</v>
      </c>
      <c r="B470" s="13">
        <f t="shared" si="2"/>
        <v>120.16886125335284</v>
      </c>
      <c r="C470" s="13">
        <f t="shared" si="2"/>
        <v>4.0507855659702408</v>
      </c>
      <c r="D470" s="13">
        <f t="shared" si="1"/>
        <v>-3.6728573630249404</v>
      </c>
    </row>
    <row r="471" spans="1:4" x14ac:dyDescent="0.25">
      <c r="A471" t="s">
        <v>381</v>
      </c>
      <c r="B471" s="13">
        <f t="shared" si="2"/>
        <v>120.16886125335284</v>
      </c>
      <c r="C471" s="13">
        <f t="shared" si="2"/>
        <v>4.2109202515244659</v>
      </c>
      <c r="D471" s="13">
        <f t="shared" si="1"/>
        <v>-4.1746797390655823</v>
      </c>
    </row>
    <row r="472" spans="1:4" x14ac:dyDescent="0.25">
      <c r="A472" t="s">
        <v>381</v>
      </c>
      <c r="B472" s="13">
        <f t="shared" si="2"/>
        <v>120.16886125335284</v>
      </c>
      <c r="C472" s="13">
        <f t="shared" si="2"/>
        <v>4.3710549370786902</v>
      </c>
      <c r="D472" s="13">
        <f t="shared" si="1"/>
        <v>-4.5022896276449833</v>
      </c>
    </row>
    <row r="473" spans="1:4" x14ac:dyDescent="0.25">
      <c r="A473" t="s">
        <v>381</v>
      </c>
      <c r="B473" s="13">
        <f t="shared" ref="B473:C488" si="3">B34</f>
        <v>120.16886125335284</v>
      </c>
      <c r="C473" s="13">
        <f t="shared" si="3"/>
        <v>4.5311896226329145</v>
      </c>
      <c r="D473" s="13">
        <f t="shared" si="1"/>
        <v>-4.672319957388769</v>
      </c>
    </row>
    <row r="474" spans="1:4" x14ac:dyDescent="0.25">
      <c r="A474" t="s">
        <v>381</v>
      </c>
      <c r="B474" s="13">
        <f t="shared" si="3"/>
        <v>120.16886125335284</v>
      </c>
      <c r="C474" s="13">
        <f t="shared" si="3"/>
        <v>4.6913243081871396</v>
      </c>
      <c r="D474" s="13">
        <f t="shared" si="1"/>
        <v>-4.7304264330795851</v>
      </c>
    </row>
    <row r="475" spans="1:4" x14ac:dyDescent="0.25">
      <c r="A475" t="s">
        <v>381</v>
      </c>
      <c r="B475" s="13">
        <f t="shared" si="3"/>
        <v>120.16886125335284</v>
      </c>
      <c r="C475" s="13">
        <f t="shared" si="3"/>
        <v>4.8514589937413639</v>
      </c>
      <c r="D475" s="13">
        <f t="shared" si="1"/>
        <v>-4.7512875356572248</v>
      </c>
    </row>
    <row r="476" spans="1:4" x14ac:dyDescent="0.25">
      <c r="A476" t="s">
        <v>381</v>
      </c>
      <c r="B476" s="13">
        <f t="shared" si="3"/>
        <v>120.16886125335284</v>
      </c>
      <c r="C476" s="13">
        <f t="shared" si="3"/>
        <v>5.9896851881849322</v>
      </c>
      <c r="D476" s="13">
        <f t="shared" si="1"/>
        <v>-4.9467879594941753</v>
      </c>
    </row>
    <row r="477" spans="1:4" x14ac:dyDescent="0.25">
      <c r="A477" t="s">
        <v>381</v>
      </c>
      <c r="B477" s="13">
        <f t="shared" si="3"/>
        <v>120.16886125335284</v>
      </c>
      <c r="C477" s="13">
        <f t="shared" si="3"/>
        <v>7.1279113826284997</v>
      </c>
      <c r="D477" s="13">
        <f t="shared" si="1"/>
        <v>-5.044449322894426</v>
      </c>
    </row>
    <row r="478" spans="1:4" x14ac:dyDescent="0.25">
      <c r="A478" t="s">
        <v>381</v>
      </c>
      <c r="B478" s="13">
        <f t="shared" si="3"/>
        <v>120.16886125335284</v>
      </c>
      <c r="C478" s="13">
        <f t="shared" si="3"/>
        <v>8.2661375770720671</v>
      </c>
      <c r="D478" s="13">
        <f t="shared" si="1"/>
        <v>-5.0442716258579754</v>
      </c>
    </row>
    <row r="479" spans="1:4" x14ac:dyDescent="0.25">
      <c r="A479" t="s">
        <v>381</v>
      </c>
      <c r="B479" s="13">
        <f t="shared" si="3"/>
        <v>120.16886125335284</v>
      </c>
      <c r="C479" s="13">
        <f t="shared" si="3"/>
        <v>9.4043637715156354</v>
      </c>
      <c r="D479" s="13">
        <f t="shared" si="1"/>
        <v>-4.9462548683848251</v>
      </c>
    </row>
    <row r="480" spans="1:4" x14ac:dyDescent="0.25">
      <c r="A480" t="s">
        <v>381</v>
      </c>
      <c r="B480" s="13">
        <f t="shared" si="3"/>
        <v>113.84418434528165</v>
      </c>
      <c r="C480" s="13">
        <f t="shared" si="3"/>
        <v>2.5220602308173645</v>
      </c>
      <c r="D480" s="13">
        <f t="shared" si="1"/>
        <v>0</v>
      </c>
    </row>
    <row r="481" spans="1:4" x14ac:dyDescent="0.25">
      <c r="A481" t="s">
        <v>381</v>
      </c>
      <c r="B481" s="13">
        <f t="shared" si="3"/>
        <v>113.84418434528165</v>
      </c>
      <c r="C481" s="13">
        <f t="shared" si="3"/>
        <v>2.5453542184466045</v>
      </c>
      <c r="D481" s="13">
        <f t="shared" si="1"/>
        <v>-7.0158490027806206E-2</v>
      </c>
    </row>
    <row r="482" spans="1:4" x14ac:dyDescent="0.25">
      <c r="A482" t="s">
        <v>381</v>
      </c>
      <c r="B482" s="13">
        <f t="shared" si="3"/>
        <v>113.84418434528165</v>
      </c>
      <c r="C482" s="13">
        <f t="shared" si="3"/>
        <v>2.5919421937050844</v>
      </c>
      <c r="D482" s="13">
        <f t="shared" si="1"/>
        <v>-0.21745205342341509</v>
      </c>
    </row>
    <row r="483" spans="1:4" x14ac:dyDescent="0.25">
      <c r="A483" t="s">
        <v>381</v>
      </c>
      <c r="B483" s="13">
        <f t="shared" si="3"/>
        <v>113.84418434528165</v>
      </c>
      <c r="C483" s="13">
        <f t="shared" si="3"/>
        <v>2.6385301689635643</v>
      </c>
      <c r="D483" s="13">
        <f t="shared" si="1"/>
        <v>-0.37305788242557142</v>
      </c>
    </row>
    <row r="484" spans="1:4" x14ac:dyDescent="0.25">
      <c r="A484" t="s">
        <v>381</v>
      </c>
      <c r="B484" s="13">
        <f t="shared" si="3"/>
        <v>113.84418434528165</v>
      </c>
      <c r="C484" s="13">
        <f t="shared" si="3"/>
        <v>2.6851181442220446</v>
      </c>
      <c r="D484" s="13">
        <f t="shared" si="1"/>
        <v>-0.5358264788287801</v>
      </c>
    </row>
    <row r="485" spans="1:4" x14ac:dyDescent="0.25">
      <c r="A485" t="s">
        <v>381</v>
      </c>
      <c r="B485" s="13">
        <f t="shared" si="3"/>
        <v>113.84418434528165</v>
      </c>
      <c r="C485" s="13">
        <f t="shared" si="3"/>
        <v>2.7550001071097645</v>
      </c>
      <c r="D485" s="13">
        <f t="shared" si="1"/>
        <v>-0.79100279989097455</v>
      </c>
    </row>
    <row r="486" spans="1:4" x14ac:dyDescent="0.25">
      <c r="A486" t="s">
        <v>381</v>
      </c>
      <c r="B486" s="13">
        <f t="shared" si="3"/>
        <v>113.84418434528165</v>
      </c>
      <c r="C486" s="13">
        <f t="shared" si="3"/>
        <v>2.8714700452559643</v>
      </c>
      <c r="D486" s="13">
        <f t="shared" si="1"/>
        <v>-1.2370712307679004</v>
      </c>
    </row>
    <row r="487" spans="1:4" x14ac:dyDescent="0.25">
      <c r="A487" t="s">
        <v>381</v>
      </c>
      <c r="B487" s="13">
        <f t="shared" si="3"/>
        <v>113.84418434528165</v>
      </c>
      <c r="C487" s="13">
        <f t="shared" si="3"/>
        <v>2.9879399834021645</v>
      </c>
      <c r="D487" s="13">
        <f t="shared" si="1"/>
        <v>-1.6962102074745526</v>
      </c>
    </row>
    <row r="488" spans="1:4" x14ac:dyDescent="0.25">
      <c r="A488" t="s">
        <v>381</v>
      </c>
      <c r="B488" s="13">
        <f t="shared" si="3"/>
        <v>113.84418434528165</v>
      </c>
      <c r="C488" s="13">
        <f t="shared" si="3"/>
        <v>3.2208798596945645</v>
      </c>
      <c r="D488" s="13">
        <f t="shared" si="1"/>
        <v>-2.6020406982823925</v>
      </c>
    </row>
    <row r="489" spans="1:4" x14ac:dyDescent="0.25">
      <c r="A489" t="s">
        <v>381</v>
      </c>
      <c r="B489" s="13">
        <f t="shared" ref="B489:C504" si="4">B50</f>
        <v>113.84418434528165</v>
      </c>
      <c r="C489" s="13">
        <f t="shared" si="4"/>
        <v>3.4538197359869645</v>
      </c>
      <c r="D489" s="13">
        <f t="shared" si="1"/>
        <v>-3.422281612590325</v>
      </c>
    </row>
    <row r="490" spans="1:4" x14ac:dyDescent="0.25">
      <c r="A490" t="s">
        <v>381</v>
      </c>
      <c r="B490" s="13">
        <f t="shared" si="4"/>
        <v>113.84418434528165</v>
      </c>
      <c r="C490" s="13">
        <f t="shared" si="4"/>
        <v>3.6867596122793644</v>
      </c>
      <c r="D490" s="13">
        <f t="shared" si="1"/>
        <v>-4.0980891554183438</v>
      </c>
    </row>
    <row r="491" spans="1:4" x14ac:dyDescent="0.25">
      <c r="A491" t="s">
        <v>381</v>
      </c>
      <c r="B491" s="13">
        <f t="shared" si="4"/>
        <v>113.84418434528165</v>
      </c>
      <c r="C491" s="13">
        <f t="shared" si="4"/>
        <v>3.919699488571764</v>
      </c>
      <c r="D491" s="13">
        <f t="shared" si="1"/>
        <v>-4.5979883965306128</v>
      </c>
    </row>
    <row r="492" spans="1:4" x14ac:dyDescent="0.25">
      <c r="A492" t="s">
        <v>381</v>
      </c>
      <c r="B492" s="13">
        <f t="shared" si="4"/>
        <v>113.84418434528165</v>
      </c>
      <c r="C492" s="13">
        <f t="shared" si="4"/>
        <v>4.1526393648641644</v>
      </c>
      <c r="D492" s="13">
        <f t="shared" si="1"/>
        <v>-4.9178732704354671</v>
      </c>
    </row>
    <row r="493" spans="1:4" x14ac:dyDescent="0.25">
      <c r="A493" t="s">
        <v>381</v>
      </c>
      <c r="B493" s="13">
        <f t="shared" si="4"/>
        <v>113.84418434528165</v>
      </c>
      <c r="C493" s="13">
        <f t="shared" si="4"/>
        <v>4.3855792411565639</v>
      </c>
      <c r="D493" s="13">
        <f t="shared" si="1"/>
        <v>-5.0810065763854126</v>
      </c>
    </row>
    <row r="494" spans="1:4" x14ac:dyDescent="0.25">
      <c r="A494" t="s">
        <v>381</v>
      </c>
      <c r="B494" s="13">
        <f t="shared" si="4"/>
        <v>113.84418434528165</v>
      </c>
      <c r="C494" s="13">
        <f t="shared" si="4"/>
        <v>4.6185191174489635</v>
      </c>
      <c r="D494" s="13">
        <f t="shared" si="1"/>
        <v>-5.1380199783770877</v>
      </c>
    </row>
    <row r="495" spans="1:4" x14ac:dyDescent="0.25">
      <c r="A495" t="s">
        <v>381</v>
      </c>
      <c r="B495" s="13">
        <f t="shared" si="4"/>
        <v>113.84418434528165</v>
      </c>
      <c r="C495" s="13">
        <f t="shared" si="4"/>
        <v>4.8514589937413639</v>
      </c>
      <c r="D495" s="13">
        <f t="shared" si="1"/>
        <v>-5.1669140051513978</v>
      </c>
    </row>
    <row r="496" spans="1:4" x14ac:dyDescent="0.25">
      <c r="A496" t="s">
        <v>381</v>
      </c>
      <c r="B496" s="13">
        <f t="shared" si="4"/>
        <v>113.84418434528165</v>
      </c>
      <c r="C496" s="13">
        <f t="shared" si="4"/>
        <v>5.9773759150470989</v>
      </c>
      <c r="D496" s="13">
        <f t="shared" si="1"/>
        <v>-5.3591453077745523</v>
      </c>
    </row>
    <row r="497" spans="1:4" x14ac:dyDescent="0.25">
      <c r="A497" t="s">
        <v>381</v>
      </c>
      <c r="B497" s="13">
        <f t="shared" si="4"/>
        <v>113.84418434528165</v>
      </c>
      <c r="C497" s="13">
        <f t="shared" si="4"/>
        <v>7.1032928363528338</v>
      </c>
      <c r="D497" s="13">
        <f t="shared" si="1"/>
        <v>-5.474947420612696</v>
      </c>
    </row>
    <row r="498" spans="1:4" x14ac:dyDescent="0.25">
      <c r="A498" t="s">
        <v>381</v>
      </c>
      <c r="B498" s="13">
        <f t="shared" si="4"/>
        <v>113.84418434528165</v>
      </c>
      <c r="C498" s="13">
        <f t="shared" si="4"/>
        <v>8.2292097576585697</v>
      </c>
      <c r="D498" s="13">
        <f t="shared" si="1"/>
        <v>-5.5143203436658315</v>
      </c>
    </row>
    <row r="499" spans="1:4" x14ac:dyDescent="0.25">
      <c r="A499" t="s">
        <v>381</v>
      </c>
      <c r="B499" s="13">
        <f t="shared" si="4"/>
        <v>113.84418434528165</v>
      </c>
      <c r="C499" s="13">
        <f t="shared" si="4"/>
        <v>9.3551266789643037</v>
      </c>
      <c r="D499" s="13">
        <f t="shared" si="1"/>
        <v>-5.4772640769339551</v>
      </c>
    </row>
    <row r="500" spans="1:4" x14ac:dyDescent="0.25">
      <c r="A500" t="s">
        <v>381</v>
      </c>
      <c r="B500" s="13">
        <f t="shared" si="4"/>
        <v>107.51950743721044</v>
      </c>
      <c r="C500" s="13">
        <f t="shared" si="4"/>
        <v>1.822392570788296</v>
      </c>
      <c r="D500" s="13">
        <f t="shared" si="1"/>
        <v>0</v>
      </c>
    </row>
    <row r="501" spans="1:4" x14ac:dyDescent="0.25">
      <c r="A501" t="s">
        <v>381</v>
      </c>
      <c r="B501" s="13">
        <f t="shared" si="4"/>
        <v>107.51950743721044</v>
      </c>
      <c r="C501" s="13">
        <f t="shared" si="4"/>
        <v>1.8526832350178266</v>
      </c>
      <c r="D501" s="13">
        <f t="shared" si="1"/>
        <v>-8.804020579233697E-2</v>
      </c>
    </row>
    <row r="502" spans="1:4" x14ac:dyDescent="0.25">
      <c r="A502" t="s">
        <v>381</v>
      </c>
      <c r="B502" s="13">
        <f t="shared" si="4"/>
        <v>107.51950743721044</v>
      </c>
      <c r="C502" s="13">
        <f t="shared" si="4"/>
        <v>1.9132645634768881</v>
      </c>
      <c r="D502" s="13">
        <f t="shared" si="1"/>
        <v>-0.26923778478322219</v>
      </c>
    </row>
    <row r="503" spans="1:4" x14ac:dyDescent="0.25">
      <c r="A503" t="s">
        <v>381</v>
      </c>
      <c r="B503" s="13">
        <f t="shared" si="4"/>
        <v>107.51950743721044</v>
      </c>
      <c r="C503" s="13">
        <f t="shared" si="4"/>
        <v>1.9738458919359494</v>
      </c>
      <c r="D503" s="13">
        <f t="shared" si="1"/>
        <v>-0.45637151278810661</v>
      </c>
    </row>
    <row r="504" spans="1:4" x14ac:dyDescent="0.25">
      <c r="A504" t="s">
        <v>381</v>
      </c>
      <c r="B504" s="13">
        <f t="shared" si="4"/>
        <v>107.51950743721044</v>
      </c>
      <c r="C504" s="13">
        <f t="shared" si="4"/>
        <v>2.0344272203950107</v>
      </c>
      <c r="D504" s="13">
        <f t="shared" si="1"/>
        <v>-0.64841270590986111</v>
      </c>
    </row>
    <row r="505" spans="1:4" x14ac:dyDescent="0.25">
      <c r="A505" t="s">
        <v>381</v>
      </c>
      <c r="B505" s="13">
        <f t="shared" ref="B505:C520" si="5">B66</f>
        <v>107.51950743721044</v>
      </c>
      <c r="C505" s="13">
        <f t="shared" si="5"/>
        <v>2.1252992130836028</v>
      </c>
      <c r="D505" s="13">
        <f t="shared" ref="D505:D568" si="6">-D66</f>
        <v>-0.94352532360668073</v>
      </c>
    </row>
    <row r="506" spans="1:4" x14ac:dyDescent="0.25">
      <c r="A506" t="s">
        <v>381</v>
      </c>
      <c r="B506" s="13">
        <f t="shared" si="5"/>
        <v>107.51950743721044</v>
      </c>
      <c r="C506" s="13">
        <f t="shared" si="5"/>
        <v>2.2767525342312562</v>
      </c>
      <c r="D506" s="13">
        <f t="shared" si="6"/>
        <v>-1.4464946570633774</v>
      </c>
    </row>
    <row r="507" spans="1:4" x14ac:dyDescent="0.25">
      <c r="A507" t="s">
        <v>381</v>
      </c>
      <c r="B507" s="13">
        <f t="shared" si="5"/>
        <v>107.51950743721044</v>
      </c>
      <c r="C507" s="13">
        <f t="shared" si="5"/>
        <v>2.4282058553789096</v>
      </c>
      <c r="D507" s="13">
        <f t="shared" si="6"/>
        <v>-1.9518933241948586</v>
      </c>
    </row>
    <row r="508" spans="1:4" x14ac:dyDescent="0.25">
      <c r="A508" t="s">
        <v>381</v>
      </c>
      <c r="B508" s="13">
        <f t="shared" si="5"/>
        <v>107.51950743721044</v>
      </c>
      <c r="C508" s="13">
        <f t="shared" si="5"/>
        <v>2.731112497674216</v>
      </c>
      <c r="D508" s="13">
        <f t="shared" si="6"/>
        <v>-2.9243368357738184</v>
      </c>
    </row>
    <row r="509" spans="1:4" x14ac:dyDescent="0.25">
      <c r="A509" t="s">
        <v>381</v>
      </c>
      <c r="B509" s="13">
        <f t="shared" si="5"/>
        <v>107.51950743721044</v>
      </c>
      <c r="C509" s="13">
        <f t="shared" si="5"/>
        <v>3.0340191399695233</v>
      </c>
      <c r="D509" s="13">
        <f t="shared" si="6"/>
        <v>-3.7853780752168924</v>
      </c>
    </row>
    <row r="510" spans="1:4" x14ac:dyDescent="0.25">
      <c r="A510" t="s">
        <v>381</v>
      </c>
      <c r="B510" s="13">
        <f t="shared" si="5"/>
        <v>107.51950743721044</v>
      </c>
      <c r="C510" s="13">
        <f t="shared" si="5"/>
        <v>3.3369257822648297</v>
      </c>
      <c r="D510" s="13">
        <f t="shared" si="6"/>
        <v>-4.4848286422614541</v>
      </c>
    </row>
    <row r="511" spans="1:4" x14ac:dyDescent="0.25">
      <c r="A511" t="s">
        <v>381</v>
      </c>
      <c r="B511" s="13">
        <f t="shared" si="5"/>
        <v>107.51950743721044</v>
      </c>
      <c r="C511" s="13">
        <f t="shared" si="5"/>
        <v>3.6398324245601366</v>
      </c>
      <c r="D511" s="13">
        <f t="shared" si="6"/>
        <v>-4.9977895195089221</v>
      </c>
    </row>
    <row r="512" spans="1:4" x14ac:dyDescent="0.25">
      <c r="A512" t="s">
        <v>381</v>
      </c>
      <c r="B512" s="13">
        <f t="shared" si="5"/>
        <v>107.51950743721044</v>
      </c>
      <c r="C512" s="13">
        <f t="shared" si="5"/>
        <v>3.9427390668554434</v>
      </c>
      <c r="D512" s="13">
        <f t="shared" si="6"/>
        <v>-5.3246510724247642</v>
      </c>
    </row>
    <row r="513" spans="1:4" x14ac:dyDescent="0.25">
      <c r="A513" t="s">
        <v>381</v>
      </c>
      <c r="B513" s="13">
        <f t="shared" si="5"/>
        <v>107.51950743721044</v>
      </c>
      <c r="C513" s="13">
        <f t="shared" si="5"/>
        <v>4.2456457091507502</v>
      </c>
      <c r="D513" s="13">
        <f t="shared" si="6"/>
        <v>-5.4910930493384935</v>
      </c>
    </row>
    <row r="514" spans="1:4" x14ac:dyDescent="0.25">
      <c r="A514" t="s">
        <v>381</v>
      </c>
      <c r="B514" s="13">
        <f t="shared" si="5"/>
        <v>107.51950743721044</v>
      </c>
      <c r="C514" s="13">
        <f t="shared" si="5"/>
        <v>4.5485523514460571</v>
      </c>
      <c r="D514" s="13">
        <f t="shared" si="6"/>
        <v>-5.5480845814436295</v>
      </c>
    </row>
    <row r="515" spans="1:4" x14ac:dyDescent="0.25">
      <c r="A515" t="s">
        <v>381</v>
      </c>
      <c r="B515" s="13">
        <f t="shared" si="5"/>
        <v>107.51950743721044</v>
      </c>
      <c r="C515" s="13">
        <f t="shared" si="5"/>
        <v>4.8514589937413639</v>
      </c>
      <c r="D515" s="13">
        <f t="shared" si="6"/>
        <v>-5.5718841827978496</v>
      </c>
    </row>
    <row r="516" spans="1:4" x14ac:dyDescent="0.25">
      <c r="A516" t="s">
        <v>381</v>
      </c>
      <c r="B516" s="13">
        <f t="shared" si="5"/>
        <v>107.51950743721044</v>
      </c>
      <c r="C516" s="13">
        <f t="shared" si="5"/>
        <v>5.9650665258665985</v>
      </c>
      <c r="D516" s="13">
        <f t="shared" si="6"/>
        <v>-5.7030009954231096</v>
      </c>
    </row>
    <row r="517" spans="1:4" x14ac:dyDescent="0.25">
      <c r="A517" t="s">
        <v>381</v>
      </c>
      <c r="B517" s="13">
        <f t="shared" si="5"/>
        <v>107.51950743721044</v>
      </c>
      <c r="C517" s="13">
        <f t="shared" si="5"/>
        <v>7.078674057991833</v>
      </c>
      <c r="D517" s="13">
        <f t="shared" si="6"/>
        <v>-5.8099926618499156</v>
      </c>
    </row>
    <row r="518" spans="1:4" x14ac:dyDescent="0.25">
      <c r="A518" t="s">
        <v>381</v>
      </c>
      <c r="B518" s="13">
        <f t="shared" si="5"/>
        <v>107.51950743721044</v>
      </c>
      <c r="C518" s="13">
        <f t="shared" si="5"/>
        <v>8.1922815901170676</v>
      </c>
      <c r="D518" s="13">
        <f t="shared" si="6"/>
        <v>-5.8928591820782641</v>
      </c>
    </row>
    <row r="519" spans="1:4" x14ac:dyDescent="0.25">
      <c r="A519" t="s">
        <v>381</v>
      </c>
      <c r="B519" s="13">
        <f t="shared" si="5"/>
        <v>107.51950743721044</v>
      </c>
      <c r="C519" s="13">
        <f t="shared" si="5"/>
        <v>9.3058891222423021</v>
      </c>
      <c r="D519" s="13">
        <f t="shared" si="6"/>
        <v>-5.9516005561081613</v>
      </c>
    </row>
    <row r="520" spans="1:4" x14ac:dyDescent="0.25">
      <c r="A520" t="s">
        <v>381</v>
      </c>
      <c r="B520" s="13">
        <f t="shared" si="5"/>
        <v>101.19483052913924</v>
      </c>
      <c r="C520" s="13">
        <f t="shared" si="5"/>
        <v>1.1870490124574347</v>
      </c>
      <c r="D520" s="13">
        <f t="shared" si="6"/>
        <v>0</v>
      </c>
    </row>
    <row r="521" spans="1:4" x14ac:dyDescent="0.25">
      <c r="A521" t="s">
        <v>381</v>
      </c>
      <c r="B521" s="13">
        <f t="shared" ref="B521:C536" si="7">B82</f>
        <v>101.19483052913924</v>
      </c>
      <c r="C521" s="13">
        <f t="shared" si="7"/>
        <v>1.2236931122702739</v>
      </c>
      <c r="D521" s="13">
        <f t="shared" si="6"/>
        <v>-0.10208689805996866</v>
      </c>
    </row>
    <row r="522" spans="1:4" x14ac:dyDescent="0.25">
      <c r="A522" t="s">
        <v>381</v>
      </c>
      <c r="B522" s="13">
        <f t="shared" si="7"/>
        <v>101.19483052913924</v>
      </c>
      <c r="C522" s="13">
        <f t="shared" si="7"/>
        <v>1.2969813118959526</v>
      </c>
      <c r="D522" s="13">
        <f t="shared" si="6"/>
        <v>-0.31001397090694477</v>
      </c>
    </row>
    <row r="523" spans="1:4" x14ac:dyDescent="0.25">
      <c r="A523" t="s">
        <v>381</v>
      </c>
      <c r="B523" s="13">
        <f t="shared" si="7"/>
        <v>101.19483052913924</v>
      </c>
      <c r="C523" s="13">
        <f t="shared" si="7"/>
        <v>1.3702695115216312</v>
      </c>
      <c r="D523" s="13">
        <f t="shared" si="6"/>
        <v>-0.52214686961074364</v>
      </c>
    </row>
    <row r="524" spans="1:4" x14ac:dyDescent="0.25">
      <c r="A524" t="s">
        <v>381</v>
      </c>
      <c r="B524" s="13">
        <f t="shared" si="7"/>
        <v>101.19483052913924</v>
      </c>
      <c r="C524" s="13">
        <f t="shared" si="7"/>
        <v>1.4435577111473097</v>
      </c>
      <c r="D524" s="13">
        <f t="shared" si="6"/>
        <v>-0.73755949835285617</v>
      </c>
    </row>
    <row r="525" spans="1:4" x14ac:dyDescent="0.25">
      <c r="A525" t="s">
        <v>381</v>
      </c>
      <c r="B525" s="13">
        <f t="shared" si="7"/>
        <v>101.19483052913924</v>
      </c>
      <c r="C525" s="13">
        <f t="shared" si="7"/>
        <v>1.5534900105858276</v>
      </c>
      <c r="D525" s="13">
        <f t="shared" si="6"/>
        <v>-1.0648925392002133</v>
      </c>
    </row>
    <row r="526" spans="1:4" x14ac:dyDescent="0.25">
      <c r="A526" t="s">
        <v>381</v>
      </c>
      <c r="B526" s="13">
        <f t="shared" si="7"/>
        <v>101.19483052913924</v>
      </c>
      <c r="C526" s="13">
        <f t="shared" si="7"/>
        <v>1.7367105096500239</v>
      </c>
      <c r="D526" s="13">
        <f t="shared" si="6"/>
        <v>-1.614771633996865</v>
      </c>
    </row>
    <row r="527" spans="1:4" x14ac:dyDescent="0.25">
      <c r="A527" t="s">
        <v>381</v>
      </c>
      <c r="B527" s="13">
        <f t="shared" si="7"/>
        <v>101.19483052913924</v>
      </c>
      <c r="C527" s="13">
        <f t="shared" si="7"/>
        <v>1.9199310087142205</v>
      </c>
      <c r="D527" s="13">
        <f t="shared" si="6"/>
        <v>-2.1597543112186832</v>
      </c>
    </row>
    <row r="528" spans="1:4" x14ac:dyDescent="0.25">
      <c r="A528" t="s">
        <v>381</v>
      </c>
      <c r="B528" s="13">
        <f t="shared" si="7"/>
        <v>101.19483052913924</v>
      </c>
      <c r="C528" s="13">
        <f t="shared" si="7"/>
        <v>2.2863720068426137</v>
      </c>
      <c r="D528" s="13">
        <f t="shared" si="6"/>
        <v>-3.1940887017573534</v>
      </c>
    </row>
    <row r="529" spans="1:4" x14ac:dyDescent="0.25">
      <c r="A529" t="s">
        <v>381</v>
      </c>
      <c r="B529" s="13">
        <f t="shared" si="7"/>
        <v>101.19483052913924</v>
      </c>
      <c r="C529" s="13">
        <f t="shared" si="7"/>
        <v>2.6528130049710064</v>
      </c>
      <c r="D529" s="13">
        <f t="shared" si="6"/>
        <v>-4.1003676083505454</v>
      </c>
    </row>
    <row r="530" spans="1:4" x14ac:dyDescent="0.25">
      <c r="A530" t="s">
        <v>381</v>
      </c>
      <c r="B530" s="13">
        <f t="shared" si="7"/>
        <v>101.19483052913924</v>
      </c>
      <c r="C530" s="13">
        <f t="shared" si="7"/>
        <v>3.0192540030993991</v>
      </c>
      <c r="D530" s="13">
        <f t="shared" si="6"/>
        <v>-4.8340314403649538</v>
      </c>
    </row>
    <row r="531" spans="1:4" x14ac:dyDescent="0.25">
      <c r="A531" t="s">
        <v>381</v>
      </c>
      <c r="B531" s="13">
        <f t="shared" si="7"/>
        <v>101.19483052913924</v>
      </c>
      <c r="C531" s="13">
        <f t="shared" si="7"/>
        <v>3.3856950012277922</v>
      </c>
      <c r="D531" s="13">
        <f t="shared" si="6"/>
        <v>-5.373489118999653</v>
      </c>
    </row>
    <row r="532" spans="1:4" x14ac:dyDescent="0.25">
      <c r="A532" t="s">
        <v>381</v>
      </c>
      <c r="B532" s="13">
        <f t="shared" si="7"/>
        <v>101.19483052913924</v>
      </c>
      <c r="C532" s="13">
        <f t="shared" si="7"/>
        <v>3.7521359993561849</v>
      </c>
      <c r="D532" s="13">
        <f t="shared" si="6"/>
        <v>-5.720118077286096</v>
      </c>
    </row>
    <row r="533" spans="1:4" x14ac:dyDescent="0.25">
      <c r="A533" t="s">
        <v>381</v>
      </c>
      <c r="B533" s="13">
        <f t="shared" si="7"/>
        <v>101.19483052913924</v>
      </c>
      <c r="C533" s="13">
        <f t="shared" si="7"/>
        <v>4.1185769974845776</v>
      </c>
      <c r="D533" s="13">
        <f t="shared" si="6"/>
        <v>-5.8982642600881148</v>
      </c>
    </row>
    <row r="534" spans="1:4" x14ac:dyDescent="0.25">
      <c r="A534" t="s">
        <v>381</v>
      </c>
      <c r="B534" s="13">
        <f t="shared" si="7"/>
        <v>101.19483052913924</v>
      </c>
      <c r="C534" s="13">
        <f t="shared" si="7"/>
        <v>4.4850179956129708</v>
      </c>
      <c r="D534" s="13">
        <f t="shared" si="6"/>
        <v>-5.955242124101872</v>
      </c>
    </row>
    <row r="535" spans="1:4" x14ac:dyDescent="0.25">
      <c r="A535" t="s">
        <v>381</v>
      </c>
      <c r="B535" s="13">
        <f t="shared" si="7"/>
        <v>101.19483052913924</v>
      </c>
      <c r="C535" s="13">
        <f t="shared" si="7"/>
        <v>4.8514589937413639</v>
      </c>
      <c r="D535" s="13">
        <f t="shared" si="6"/>
        <v>-5.9613346378560355</v>
      </c>
    </row>
    <row r="536" spans="1:4" x14ac:dyDescent="0.25">
      <c r="A536" t="s">
        <v>381</v>
      </c>
      <c r="B536" s="13">
        <f t="shared" si="7"/>
        <v>101.19483052913924</v>
      </c>
      <c r="C536" s="13">
        <f t="shared" si="7"/>
        <v>5.9527575044260921</v>
      </c>
      <c r="D536" s="13">
        <f t="shared" si="6"/>
        <v>-6.0078110847665283</v>
      </c>
    </row>
    <row r="537" spans="1:4" x14ac:dyDescent="0.25">
      <c r="A537" t="s">
        <v>381</v>
      </c>
      <c r="B537" s="13">
        <f t="shared" ref="B537:C552" si="8">B98</f>
        <v>101.19483052913924</v>
      </c>
      <c r="C537" s="13">
        <f t="shared" si="8"/>
        <v>7.0540560151108211</v>
      </c>
      <c r="D537" s="13">
        <f t="shared" si="6"/>
        <v>-6.0882168120116846</v>
      </c>
    </row>
    <row r="538" spans="1:4" x14ac:dyDescent="0.25">
      <c r="A538" t="s">
        <v>381</v>
      </c>
      <c r="B538" s="13">
        <f t="shared" si="8"/>
        <v>101.19483052913924</v>
      </c>
      <c r="C538" s="13">
        <f t="shared" si="8"/>
        <v>8.1553545257955502</v>
      </c>
      <c r="D538" s="13">
        <f t="shared" si="6"/>
        <v>-6.2025518195915028</v>
      </c>
    </row>
    <row r="539" spans="1:4" x14ac:dyDescent="0.25">
      <c r="A539" t="s">
        <v>381</v>
      </c>
      <c r="B539" s="13">
        <f t="shared" si="8"/>
        <v>101.19483052913924</v>
      </c>
      <c r="C539" s="13">
        <f t="shared" si="8"/>
        <v>9.2566530364802784</v>
      </c>
      <c r="D539" s="13">
        <f t="shared" si="6"/>
        <v>-6.3508161075059864</v>
      </c>
    </row>
    <row r="540" spans="1:4" x14ac:dyDescent="0.25">
      <c r="A540" t="s">
        <v>381</v>
      </c>
      <c r="B540" s="13">
        <f t="shared" si="8"/>
        <v>94.870153621068042</v>
      </c>
      <c r="C540" s="13">
        <f t="shared" si="8"/>
        <v>0.68797988774569951</v>
      </c>
      <c r="D540" s="13">
        <f t="shared" si="6"/>
        <v>0</v>
      </c>
    </row>
    <row r="541" spans="1:4" x14ac:dyDescent="0.25">
      <c r="A541" t="s">
        <v>381</v>
      </c>
      <c r="B541" s="13">
        <f t="shared" si="8"/>
        <v>94.870153621068042</v>
      </c>
      <c r="C541" s="13">
        <f t="shared" si="8"/>
        <v>0.72961467880565611</v>
      </c>
      <c r="D541" s="13">
        <f t="shared" si="6"/>
        <v>-0.12475018330222053</v>
      </c>
    </row>
    <row r="542" spans="1:4" x14ac:dyDescent="0.25">
      <c r="A542" t="s">
        <v>381</v>
      </c>
      <c r="B542" s="13">
        <f t="shared" si="8"/>
        <v>94.870153621068042</v>
      </c>
      <c r="C542" s="13">
        <f t="shared" si="8"/>
        <v>0.81288426092556942</v>
      </c>
      <c r="D542" s="13">
        <f t="shared" si="6"/>
        <v>-0.37510746987603932</v>
      </c>
    </row>
    <row r="543" spans="1:4" x14ac:dyDescent="0.25">
      <c r="A543" t="s">
        <v>381</v>
      </c>
      <c r="B543" s="13">
        <f t="shared" si="8"/>
        <v>94.870153621068042</v>
      </c>
      <c r="C543" s="13">
        <f t="shared" si="8"/>
        <v>0.89615384304548273</v>
      </c>
      <c r="D543" s="13">
        <f t="shared" si="6"/>
        <v>-0.62598766347586121</v>
      </c>
    </row>
    <row r="544" spans="1:4" x14ac:dyDescent="0.25">
      <c r="A544" t="s">
        <v>381</v>
      </c>
      <c r="B544" s="13">
        <f t="shared" si="8"/>
        <v>94.870153621068042</v>
      </c>
      <c r="C544" s="13">
        <f t="shared" si="8"/>
        <v>0.97942342516539604</v>
      </c>
      <c r="D544" s="13">
        <f t="shared" si="6"/>
        <v>-0.87667410151392333</v>
      </c>
    </row>
    <row r="545" spans="1:4" x14ac:dyDescent="0.25">
      <c r="A545" t="s">
        <v>381</v>
      </c>
      <c r="B545" s="13">
        <f t="shared" si="8"/>
        <v>94.870153621068042</v>
      </c>
      <c r="C545" s="13">
        <f t="shared" si="8"/>
        <v>1.104327798345266</v>
      </c>
      <c r="D545" s="13">
        <f t="shared" si="6"/>
        <v>-1.2508484826033388</v>
      </c>
    </row>
    <row r="546" spans="1:4" x14ac:dyDescent="0.25">
      <c r="A546" t="s">
        <v>381</v>
      </c>
      <c r="B546" s="13">
        <f t="shared" si="8"/>
        <v>94.870153621068042</v>
      </c>
      <c r="C546" s="13">
        <f t="shared" si="8"/>
        <v>1.3125017536450492</v>
      </c>
      <c r="D546" s="13">
        <f t="shared" si="6"/>
        <v>-1.8642258835748</v>
      </c>
    </row>
    <row r="547" spans="1:4" x14ac:dyDescent="0.25">
      <c r="A547" t="s">
        <v>381</v>
      </c>
      <c r="B547" s="13">
        <f t="shared" si="8"/>
        <v>94.870153621068042</v>
      </c>
      <c r="C547" s="13">
        <f t="shared" si="8"/>
        <v>1.5206757089448324</v>
      </c>
      <c r="D547" s="13">
        <f t="shared" si="6"/>
        <v>-2.4569651199057132</v>
      </c>
    </row>
    <row r="548" spans="1:4" x14ac:dyDescent="0.25">
      <c r="A548" t="s">
        <v>381</v>
      </c>
      <c r="B548" s="13">
        <f t="shared" si="8"/>
        <v>94.870153621068042</v>
      </c>
      <c r="C548" s="13">
        <f t="shared" si="8"/>
        <v>1.9370236195443988</v>
      </c>
      <c r="D548" s="13">
        <f t="shared" si="6"/>
        <v>-3.5499192493232425</v>
      </c>
    </row>
    <row r="549" spans="1:4" x14ac:dyDescent="0.25">
      <c r="A549" t="s">
        <v>381</v>
      </c>
      <c r="B549" s="13">
        <f t="shared" si="8"/>
        <v>94.870153621068042</v>
      </c>
      <c r="C549" s="13">
        <f t="shared" si="8"/>
        <v>2.3533715301439653</v>
      </c>
      <c r="D549" s="13">
        <f t="shared" si="6"/>
        <v>-4.4805094454416183</v>
      </c>
    </row>
    <row r="550" spans="1:4" x14ac:dyDescent="0.25">
      <c r="A550" t="s">
        <v>381</v>
      </c>
      <c r="B550" s="13">
        <f t="shared" si="8"/>
        <v>94.870153621068042</v>
      </c>
      <c r="C550" s="13">
        <f t="shared" si="8"/>
        <v>2.7697194407435317</v>
      </c>
      <c r="D550" s="13">
        <f t="shared" si="6"/>
        <v>-5.2187635200160916</v>
      </c>
    </row>
    <row r="551" spans="1:4" x14ac:dyDescent="0.25">
      <c r="A551" t="s">
        <v>381</v>
      </c>
      <c r="B551" s="13">
        <f t="shared" si="8"/>
        <v>94.870153621068042</v>
      </c>
      <c r="C551" s="13">
        <f t="shared" si="8"/>
        <v>3.1860673513430982</v>
      </c>
      <c r="D551" s="13">
        <f t="shared" si="6"/>
        <v>-5.7539385219714818</v>
      </c>
    </row>
    <row r="552" spans="1:4" x14ac:dyDescent="0.25">
      <c r="A552" t="s">
        <v>381</v>
      </c>
      <c r="B552" s="13">
        <f t="shared" si="8"/>
        <v>94.870153621068042</v>
      </c>
      <c r="C552" s="13">
        <f t="shared" si="8"/>
        <v>3.6024152619426646</v>
      </c>
      <c r="D552" s="13">
        <f t="shared" si="6"/>
        <v>-6.0945207374021839</v>
      </c>
    </row>
    <row r="553" spans="1:4" x14ac:dyDescent="0.25">
      <c r="A553" t="s">
        <v>381</v>
      </c>
      <c r="B553" s="13">
        <f t="shared" ref="B553:C568" si="9">B114</f>
        <v>94.870153621068042</v>
      </c>
      <c r="C553" s="13">
        <f t="shared" si="9"/>
        <v>4.018763172542231</v>
      </c>
      <c r="D553" s="13">
        <f t="shared" si="6"/>
        <v>-6.2682256895721569</v>
      </c>
    </row>
    <row r="554" spans="1:4" x14ac:dyDescent="0.25">
      <c r="A554" t="s">
        <v>381</v>
      </c>
      <c r="B554" s="13">
        <f t="shared" si="9"/>
        <v>94.870153621068042</v>
      </c>
      <c r="C554" s="13">
        <f t="shared" si="9"/>
        <v>4.4351110831417975</v>
      </c>
      <c r="D554" s="13">
        <f t="shared" si="6"/>
        <v>-6.3219981389148883</v>
      </c>
    </row>
    <row r="555" spans="1:4" x14ac:dyDescent="0.25">
      <c r="A555" t="s">
        <v>381</v>
      </c>
      <c r="B555" s="13">
        <f t="shared" si="9"/>
        <v>94.870153621068042</v>
      </c>
      <c r="C555" s="13">
        <f t="shared" si="9"/>
        <v>4.8514589937413639</v>
      </c>
      <c r="D555" s="13">
        <f t="shared" si="6"/>
        <v>-6.3220120830335524</v>
      </c>
    </row>
    <row r="556" spans="1:4" x14ac:dyDescent="0.25">
      <c r="A556" t="s">
        <v>381</v>
      </c>
      <c r="B556" s="13">
        <f t="shared" si="9"/>
        <v>94.870153621068042</v>
      </c>
      <c r="C556" s="13">
        <f t="shared" si="9"/>
        <v>5.9404473434502805</v>
      </c>
      <c r="D556" s="13">
        <f t="shared" si="6"/>
        <v>-6.2868789083023771</v>
      </c>
    </row>
    <row r="557" spans="1:4" x14ac:dyDescent="0.25">
      <c r="A557" t="s">
        <v>381</v>
      </c>
      <c r="B557" s="13">
        <f t="shared" si="9"/>
        <v>94.870153621068042</v>
      </c>
      <c r="C557" s="13">
        <f t="shared" si="9"/>
        <v>7.029435693159197</v>
      </c>
      <c r="D557" s="13">
        <f t="shared" si="6"/>
        <v>-6.3326985013917305</v>
      </c>
    </row>
    <row r="558" spans="1:4" x14ac:dyDescent="0.25">
      <c r="A558" t="s">
        <v>381</v>
      </c>
      <c r="B558" s="13">
        <f t="shared" si="9"/>
        <v>94.870153621068042</v>
      </c>
      <c r="C558" s="13">
        <f t="shared" si="9"/>
        <v>8.1184240428681136</v>
      </c>
      <c r="D558" s="13">
        <f t="shared" si="6"/>
        <v>-6.459470862301611</v>
      </c>
    </row>
    <row r="559" spans="1:4" x14ac:dyDescent="0.25">
      <c r="A559" t="s">
        <v>381</v>
      </c>
      <c r="B559" s="13">
        <f t="shared" si="9"/>
        <v>94.870153621068042</v>
      </c>
      <c r="C559" s="13">
        <f t="shared" si="9"/>
        <v>9.2074123925770301</v>
      </c>
      <c r="D559" s="13">
        <f t="shared" si="6"/>
        <v>-6.6671959910320213</v>
      </c>
    </row>
    <row r="560" spans="1:4" x14ac:dyDescent="0.25">
      <c r="A560" t="s">
        <v>381</v>
      </c>
      <c r="B560" s="13">
        <f t="shared" si="9"/>
        <v>88.54547671299683</v>
      </c>
      <c r="C560" s="13">
        <f t="shared" si="9"/>
        <v>0.32480778077737416</v>
      </c>
      <c r="D560" s="13">
        <f t="shared" si="6"/>
        <v>0</v>
      </c>
    </row>
    <row r="561" spans="1:4" x14ac:dyDescent="0.25">
      <c r="A561" t="s">
        <v>381</v>
      </c>
      <c r="B561" s="13">
        <f t="shared" si="9"/>
        <v>88.54547671299683</v>
      </c>
      <c r="C561" s="13">
        <f t="shared" si="9"/>
        <v>0.37007429290701405</v>
      </c>
      <c r="D561" s="13">
        <f t="shared" si="6"/>
        <v>-0.19038952026832795</v>
      </c>
    </row>
    <row r="562" spans="1:4" x14ac:dyDescent="0.25">
      <c r="A562" t="s">
        <v>381</v>
      </c>
      <c r="B562" s="13">
        <f t="shared" si="9"/>
        <v>88.54547671299683</v>
      </c>
      <c r="C562" s="13">
        <f t="shared" si="9"/>
        <v>0.46060731716629388</v>
      </c>
      <c r="D562" s="13">
        <f t="shared" si="6"/>
        <v>-0.5572262850790074</v>
      </c>
    </row>
    <row r="563" spans="1:4" x14ac:dyDescent="0.25">
      <c r="A563" t="s">
        <v>381</v>
      </c>
      <c r="B563" s="13">
        <f t="shared" si="9"/>
        <v>88.54547671299683</v>
      </c>
      <c r="C563" s="13">
        <f t="shared" si="9"/>
        <v>0.55114034142557367</v>
      </c>
      <c r="D563" s="13">
        <f t="shared" si="6"/>
        <v>-0.90627820954820826</v>
      </c>
    </row>
    <row r="564" spans="1:4" x14ac:dyDescent="0.25">
      <c r="A564" t="s">
        <v>381</v>
      </c>
      <c r="B564" s="13">
        <f t="shared" si="9"/>
        <v>88.54547671299683</v>
      </c>
      <c r="C564" s="13">
        <f t="shared" si="9"/>
        <v>0.64167336568485345</v>
      </c>
      <c r="D564" s="13">
        <f t="shared" si="6"/>
        <v>-1.2384535796070997</v>
      </c>
    </row>
    <row r="565" spans="1:4" x14ac:dyDescent="0.25">
      <c r="A565" t="s">
        <v>381</v>
      </c>
      <c r="B565" s="13">
        <f t="shared" si="9"/>
        <v>88.54547671299683</v>
      </c>
      <c r="C565" s="13">
        <f t="shared" si="9"/>
        <v>0.77747290207377318</v>
      </c>
      <c r="D565" s="13">
        <f t="shared" si="6"/>
        <v>-1.7069115535751389</v>
      </c>
    </row>
    <row r="566" spans="1:4" x14ac:dyDescent="0.25">
      <c r="A566" t="s">
        <v>381</v>
      </c>
      <c r="B566" s="13">
        <f t="shared" si="9"/>
        <v>88.54547671299683</v>
      </c>
      <c r="C566" s="13">
        <f t="shared" si="9"/>
        <v>1.0038054627219726</v>
      </c>
      <c r="D566" s="13">
        <f t="shared" si="6"/>
        <v>-2.4145285209136733</v>
      </c>
    </row>
    <row r="567" spans="1:4" x14ac:dyDescent="0.25">
      <c r="A567" t="s">
        <v>381</v>
      </c>
      <c r="B567" s="13">
        <f t="shared" si="9"/>
        <v>88.54547671299683</v>
      </c>
      <c r="C567" s="13">
        <f t="shared" si="9"/>
        <v>1.2301380233701722</v>
      </c>
      <c r="D567" s="13">
        <f t="shared" si="6"/>
        <v>-3.0398219621256741</v>
      </c>
    </row>
    <row r="568" spans="1:4" x14ac:dyDescent="0.25">
      <c r="A568" t="s">
        <v>381</v>
      </c>
      <c r="B568" s="13">
        <f t="shared" si="9"/>
        <v>88.54547671299683</v>
      </c>
      <c r="C568" s="13">
        <f t="shared" si="9"/>
        <v>1.682803144666571</v>
      </c>
      <c r="D568" s="13">
        <f t="shared" si="6"/>
        <v>-4.078598230510269</v>
      </c>
    </row>
    <row r="569" spans="1:4" x14ac:dyDescent="0.25">
      <c r="A569" t="s">
        <v>381</v>
      </c>
      <c r="B569" s="13">
        <f t="shared" ref="B569:C584" si="10">B130</f>
        <v>88.54547671299683</v>
      </c>
      <c r="C569" s="13">
        <f t="shared" si="10"/>
        <v>2.1354682659629702</v>
      </c>
      <c r="D569" s="13">
        <f t="shared" ref="D569:D632" si="11">-D130</f>
        <v>-4.8818779922571665</v>
      </c>
    </row>
    <row r="570" spans="1:4" x14ac:dyDescent="0.25">
      <c r="A570" t="s">
        <v>381</v>
      </c>
      <c r="B570" s="13">
        <f t="shared" si="10"/>
        <v>88.54547671299683</v>
      </c>
      <c r="C570" s="13">
        <f t="shared" si="10"/>
        <v>2.588133387259369</v>
      </c>
      <c r="D570" s="13">
        <f t="shared" si="11"/>
        <v>-5.4936836812499967</v>
      </c>
    </row>
    <row r="571" spans="1:4" x14ac:dyDescent="0.25">
      <c r="A571" t="s">
        <v>381</v>
      </c>
      <c r="B571" s="13">
        <f t="shared" si="10"/>
        <v>88.54547671299683</v>
      </c>
      <c r="C571" s="13">
        <f t="shared" si="10"/>
        <v>3.0407985085557678</v>
      </c>
      <c r="D571" s="13">
        <f t="shared" si="11"/>
        <v>-5.9477089168865716</v>
      </c>
    </row>
    <row r="572" spans="1:4" x14ac:dyDescent="0.25">
      <c r="A572" t="s">
        <v>381</v>
      </c>
      <c r="B572" s="13">
        <f t="shared" si="10"/>
        <v>88.54547671299683</v>
      </c>
      <c r="C572" s="13">
        <f t="shared" si="10"/>
        <v>3.4934636298521666</v>
      </c>
      <c r="D572" s="13">
        <f t="shared" si="11"/>
        <v>-6.2701799255594999</v>
      </c>
    </row>
    <row r="573" spans="1:4" x14ac:dyDescent="0.25">
      <c r="A573" t="s">
        <v>381</v>
      </c>
      <c r="B573" s="13">
        <f t="shared" si="10"/>
        <v>88.54547671299683</v>
      </c>
      <c r="C573" s="13">
        <f t="shared" si="10"/>
        <v>3.9461287511485663</v>
      </c>
      <c r="D573" s="13">
        <f t="shared" si="11"/>
        <v>-6.4818156512080227</v>
      </c>
    </row>
    <row r="574" spans="1:4" x14ac:dyDescent="0.25">
      <c r="A574" t="s">
        <v>381</v>
      </c>
      <c r="B574" s="13">
        <f t="shared" si="10"/>
        <v>88.54547671299683</v>
      </c>
      <c r="C574" s="13">
        <f t="shared" si="10"/>
        <v>4.3987938724449647</v>
      </c>
      <c r="D574" s="13">
        <f t="shared" si="11"/>
        <v>-6.5992012522373464</v>
      </c>
    </row>
    <row r="575" spans="1:4" x14ac:dyDescent="0.25">
      <c r="A575" t="s">
        <v>381</v>
      </c>
      <c r="B575" s="13">
        <f t="shared" si="10"/>
        <v>88.54547671299683</v>
      </c>
      <c r="C575" s="13">
        <f t="shared" si="10"/>
        <v>4.8514589937413639</v>
      </c>
      <c r="D575" s="13">
        <f t="shared" si="11"/>
        <v>-6.6357700730737044</v>
      </c>
    </row>
    <row r="576" spans="1:4" x14ac:dyDescent="0.25">
      <c r="A576" t="s">
        <v>381</v>
      </c>
      <c r="B576" s="13">
        <f t="shared" si="10"/>
        <v>88.54547671299683</v>
      </c>
      <c r="C576" s="13">
        <f t="shared" si="10"/>
        <v>5.9281405899156017</v>
      </c>
      <c r="D576" s="13">
        <f t="shared" si="11"/>
        <v>-6.5417224195955015</v>
      </c>
    </row>
    <row r="577" spans="1:4" x14ac:dyDescent="0.25">
      <c r="A577" t="s">
        <v>381</v>
      </c>
      <c r="B577" s="13">
        <f t="shared" si="10"/>
        <v>88.54547671299683</v>
      </c>
      <c r="C577" s="13">
        <f t="shared" si="10"/>
        <v>7.0048221860898394</v>
      </c>
      <c r="D577" s="13">
        <f t="shared" si="11"/>
        <v>-6.5545155872620544</v>
      </c>
    </row>
    <row r="578" spans="1:4" x14ac:dyDescent="0.25">
      <c r="A578" t="s">
        <v>381</v>
      </c>
      <c r="B578" s="13">
        <f t="shared" si="10"/>
        <v>88.54547671299683</v>
      </c>
      <c r="C578" s="13">
        <f t="shared" si="10"/>
        <v>8.0815037822640772</v>
      </c>
      <c r="D578" s="13">
        <f t="shared" si="11"/>
        <v>-6.674149576073364</v>
      </c>
    </row>
    <row r="579" spans="1:4" x14ac:dyDescent="0.25">
      <c r="A579" t="s">
        <v>381</v>
      </c>
      <c r="B579" s="13">
        <f t="shared" si="10"/>
        <v>88.54547671299683</v>
      </c>
      <c r="C579" s="13">
        <f t="shared" si="10"/>
        <v>9.1581853784383149</v>
      </c>
      <c r="D579" s="13">
        <f t="shared" si="11"/>
        <v>-6.9006243860294267</v>
      </c>
    </row>
    <row r="580" spans="1:4" x14ac:dyDescent="0.25">
      <c r="A580" t="s">
        <v>381</v>
      </c>
      <c r="B580" s="13">
        <f t="shared" si="10"/>
        <v>82.220799804925633</v>
      </c>
      <c r="C580" s="13">
        <f t="shared" si="10"/>
        <v>0.10022341115138911</v>
      </c>
      <c r="D580" s="13">
        <f t="shared" si="11"/>
        <v>0</v>
      </c>
    </row>
    <row r="581" spans="1:4" x14ac:dyDescent="0.25">
      <c r="A581" t="s">
        <v>381</v>
      </c>
      <c r="B581" s="13">
        <f t="shared" si="10"/>
        <v>82.220799804925633</v>
      </c>
      <c r="C581" s="13">
        <f t="shared" si="10"/>
        <v>0.14773576697728885</v>
      </c>
      <c r="D581" s="13">
        <f t="shared" si="11"/>
        <v>-0.23147072826309903</v>
      </c>
    </row>
    <row r="582" spans="1:4" x14ac:dyDescent="0.25">
      <c r="A582" t="s">
        <v>381</v>
      </c>
      <c r="B582" s="13">
        <f t="shared" si="10"/>
        <v>82.220799804925633</v>
      </c>
      <c r="C582" s="13">
        <f t="shared" si="10"/>
        <v>0.24276047862908834</v>
      </c>
      <c r="D582" s="13">
        <f t="shared" si="11"/>
        <v>-0.67152389363127696</v>
      </c>
    </row>
    <row r="583" spans="1:4" x14ac:dyDescent="0.25">
      <c r="A583" t="s">
        <v>381</v>
      </c>
      <c r="B583" s="13">
        <f t="shared" si="10"/>
        <v>82.220799804925633</v>
      </c>
      <c r="C583" s="13">
        <f t="shared" si="10"/>
        <v>0.33778519028088783</v>
      </c>
      <c r="D583" s="13">
        <f t="shared" si="11"/>
        <v>-1.0830837141222645</v>
      </c>
    </row>
    <row r="584" spans="1:4" x14ac:dyDescent="0.25">
      <c r="A584" t="s">
        <v>381</v>
      </c>
      <c r="B584" s="13">
        <f t="shared" si="10"/>
        <v>82.220799804925633</v>
      </c>
      <c r="C584" s="13">
        <f t="shared" si="10"/>
        <v>0.43280990193268737</v>
      </c>
      <c r="D584" s="13">
        <f t="shared" si="11"/>
        <v>-1.4683596726643315</v>
      </c>
    </row>
    <row r="585" spans="1:4" x14ac:dyDescent="0.25">
      <c r="A585" t="s">
        <v>381</v>
      </c>
      <c r="B585" s="13">
        <f t="shared" ref="B585:C600" si="12">B146</f>
        <v>82.220799804925633</v>
      </c>
      <c r="C585" s="13">
        <f t="shared" si="12"/>
        <v>0.57534696941038654</v>
      </c>
      <c r="D585" s="13">
        <f t="shared" si="11"/>
        <v>-2.0012834142248481</v>
      </c>
    </row>
    <row r="586" spans="1:4" x14ac:dyDescent="0.25">
      <c r="A586" t="s">
        <v>381</v>
      </c>
      <c r="B586" s="13">
        <f t="shared" si="12"/>
        <v>82.220799804925633</v>
      </c>
      <c r="C586" s="13">
        <f t="shared" si="12"/>
        <v>0.81290874853988526</v>
      </c>
      <c r="D586" s="13">
        <f t="shared" si="11"/>
        <v>-2.7835682692985122</v>
      </c>
    </row>
    <row r="587" spans="1:4" x14ac:dyDescent="0.25">
      <c r="A587" t="s">
        <v>381</v>
      </c>
      <c r="B587" s="13">
        <f t="shared" si="12"/>
        <v>82.220799804925633</v>
      </c>
      <c r="C587" s="13">
        <f t="shared" si="12"/>
        <v>1.050470527669384</v>
      </c>
      <c r="D587" s="13">
        <f t="shared" si="11"/>
        <v>-3.4524966098553262</v>
      </c>
    </row>
    <row r="588" spans="1:4" x14ac:dyDescent="0.25">
      <c r="A588" t="s">
        <v>381</v>
      </c>
      <c r="B588" s="13">
        <f t="shared" si="12"/>
        <v>82.220799804925633</v>
      </c>
      <c r="C588" s="13">
        <f t="shared" si="12"/>
        <v>1.5255940859283814</v>
      </c>
      <c r="D588" s="13">
        <f t="shared" si="11"/>
        <v>-4.5180431511949317</v>
      </c>
    </row>
    <row r="589" spans="1:4" x14ac:dyDescent="0.25">
      <c r="A589" t="s">
        <v>381</v>
      </c>
      <c r="B589" s="13">
        <f t="shared" si="12"/>
        <v>82.220799804925633</v>
      </c>
      <c r="C589" s="13">
        <f t="shared" si="12"/>
        <v>2.0007176441873789</v>
      </c>
      <c r="D589" s="13">
        <f t="shared" si="11"/>
        <v>-5.3027469262578313</v>
      </c>
    </row>
    <row r="590" spans="1:4" x14ac:dyDescent="0.25">
      <c r="A590" t="s">
        <v>381</v>
      </c>
      <c r="B590" s="13">
        <f t="shared" si="12"/>
        <v>82.220799804925633</v>
      </c>
      <c r="C590" s="13">
        <f t="shared" si="12"/>
        <v>2.4758412024463765</v>
      </c>
      <c r="D590" s="13">
        <f t="shared" si="11"/>
        <v>-5.876599552323464</v>
      </c>
    </row>
    <row r="591" spans="1:4" x14ac:dyDescent="0.25">
      <c r="A591" t="s">
        <v>381</v>
      </c>
      <c r="B591" s="13">
        <f t="shared" si="12"/>
        <v>82.220799804925633</v>
      </c>
      <c r="C591" s="13">
        <f t="shared" si="12"/>
        <v>2.9509647607053737</v>
      </c>
      <c r="D591" s="13">
        <f t="shared" si="11"/>
        <v>-6.288118807457856</v>
      </c>
    </row>
    <row r="592" spans="1:4" x14ac:dyDescent="0.25">
      <c r="A592" t="s">
        <v>381</v>
      </c>
      <c r="B592" s="13">
        <f t="shared" si="12"/>
        <v>82.220799804925633</v>
      </c>
      <c r="C592" s="13">
        <f t="shared" si="12"/>
        <v>3.4260883189643714</v>
      </c>
      <c r="D592" s="13">
        <f t="shared" si="11"/>
        <v>-6.5719973383642332</v>
      </c>
    </row>
    <row r="593" spans="1:4" x14ac:dyDescent="0.25">
      <c r="A593" t="s">
        <v>381</v>
      </c>
      <c r="B593" s="13">
        <f t="shared" si="12"/>
        <v>82.220799804925633</v>
      </c>
      <c r="C593" s="13">
        <f t="shared" si="12"/>
        <v>3.901211877223369</v>
      </c>
      <c r="D593" s="13">
        <f t="shared" si="11"/>
        <v>-6.7536995269223912</v>
      </c>
    </row>
    <row r="594" spans="1:4" x14ac:dyDescent="0.25">
      <c r="A594" t="s">
        <v>381</v>
      </c>
      <c r="B594" s="13">
        <f t="shared" si="12"/>
        <v>82.220799804925633</v>
      </c>
      <c r="C594" s="13">
        <f t="shared" si="12"/>
        <v>4.3763354354823667</v>
      </c>
      <c r="D594" s="13">
        <f t="shared" si="11"/>
        <v>-6.8523385689872871</v>
      </c>
    </row>
    <row r="595" spans="1:4" x14ac:dyDescent="0.25">
      <c r="A595" t="s">
        <v>381</v>
      </c>
      <c r="B595" s="13">
        <f t="shared" si="12"/>
        <v>82.220799804925633</v>
      </c>
      <c r="C595" s="13">
        <f t="shared" si="12"/>
        <v>4.8514589937413639</v>
      </c>
      <c r="D595" s="13">
        <f t="shared" si="11"/>
        <v>-6.8825403521952069</v>
      </c>
    </row>
    <row r="596" spans="1:4" x14ac:dyDescent="0.25">
      <c r="A596" t="s">
        <v>381</v>
      </c>
      <c r="B596" s="13">
        <f t="shared" si="12"/>
        <v>82.220799804925633</v>
      </c>
      <c r="C596" s="13">
        <f t="shared" si="12"/>
        <v>5.9158241806935772</v>
      </c>
      <c r="D596" s="13">
        <f t="shared" si="11"/>
        <v>-6.7643808102871965</v>
      </c>
    </row>
    <row r="597" spans="1:4" x14ac:dyDescent="0.25">
      <c r="A597" t="s">
        <v>381</v>
      </c>
      <c r="B597" s="13">
        <f t="shared" si="12"/>
        <v>82.220799804925633</v>
      </c>
      <c r="C597" s="13">
        <f t="shared" si="12"/>
        <v>6.9801893676457905</v>
      </c>
      <c r="D597" s="13">
        <f t="shared" si="11"/>
        <v>-6.7538348463499638</v>
      </c>
    </row>
    <row r="598" spans="1:4" x14ac:dyDescent="0.25">
      <c r="A598" t="s">
        <v>381</v>
      </c>
      <c r="B598" s="13">
        <f t="shared" si="12"/>
        <v>82.220799804925633</v>
      </c>
      <c r="C598" s="13">
        <f t="shared" si="12"/>
        <v>8.0445545545980046</v>
      </c>
      <c r="D598" s="13">
        <f t="shared" si="11"/>
        <v>-6.8509024603835087</v>
      </c>
    </row>
    <row r="599" spans="1:4" x14ac:dyDescent="0.25">
      <c r="A599" t="s">
        <v>381</v>
      </c>
      <c r="B599" s="13">
        <f t="shared" si="12"/>
        <v>82.220799804925633</v>
      </c>
      <c r="C599" s="13">
        <f t="shared" si="12"/>
        <v>9.108919741550217</v>
      </c>
      <c r="D599" s="13">
        <f t="shared" si="11"/>
        <v>-7.0555836523878313</v>
      </c>
    </row>
    <row r="600" spans="1:4" x14ac:dyDescent="0.25">
      <c r="A600" t="s">
        <v>381</v>
      </c>
      <c r="B600" s="13">
        <f t="shared" si="12"/>
        <v>75.896122896854422</v>
      </c>
      <c r="C600" s="13">
        <f t="shared" si="12"/>
        <v>1.1197446890085949E-2</v>
      </c>
      <c r="D600" s="13">
        <f t="shared" si="11"/>
        <v>0</v>
      </c>
    </row>
    <row r="601" spans="1:4" x14ac:dyDescent="0.25">
      <c r="A601" t="s">
        <v>381</v>
      </c>
      <c r="B601" s="13">
        <f t="shared" ref="B601:C616" si="13">B162</f>
        <v>75.896122896854422</v>
      </c>
      <c r="C601" s="13">
        <f t="shared" si="13"/>
        <v>5.9600062358598729E-2</v>
      </c>
      <c r="D601" s="13">
        <f t="shared" si="11"/>
        <v>-0.29673874731372168</v>
      </c>
    </row>
    <row r="602" spans="1:4" x14ac:dyDescent="0.25">
      <c r="A602" t="s">
        <v>381</v>
      </c>
      <c r="B602" s="13">
        <f t="shared" si="13"/>
        <v>75.896122896854422</v>
      </c>
      <c r="C602" s="13">
        <f t="shared" si="13"/>
        <v>0.15640529329562428</v>
      </c>
      <c r="D602" s="13">
        <f t="shared" si="11"/>
        <v>-0.84762916965164448</v>
      </c>
    </row>
    <row r="603" spans="1:4" x14ac:dyDescent="0.25">
      <c r="A603" t="s">
        <v>381</v>
      </c>
      <c r="B603" s="13">
        <f t="shared" si="13"/>
        <v>75.896122896854422</v>
      </c>
      <c r="C603" s="13">
        <f t="shared" si="13"/>
        <v>0.25321052423264989</v>
      </c>
      <c r="D603" s="13">
        <f t="shared" si="11"/>
        <v>-1.3476416600722154</v>
      </c>
    </row>
    <row r="604" spans="1:4" x14ac:dyDescent="0.25">
      <c r="A604" t="s">
        <v>381</v>
      </c>
      <c r="B604" s="13">
        <f t="shared" si="13"/>
        <v>75.896122896854422</v>
      </c>
      <c r="C604" s="13">
        <f t="shared" si="13"/>
        <v>0.35001575516967542</v>
      </c>
      <c r="D604" s="13">
        <f t="shared" si="11"/>
        <v>-1.8028716209221038</v>
      </c>
    </row>
    <row r="605" spans="1:4" x14ac:dyDescent="0.25">
      <c r="A605" t="s">
        <v>381</v>
      </c>
      <c r="B605" s="13">
        <f t="shared" si="13"/>
        <v>75.896122896854422</v>
      </c>
      <c r="C605" s="13">
        <f t="shared" si="13"/>
        <v>0.49522360157521378</v>
      </c>
      <c r="D605" s="13">
        <f t="shared" si="11"/>
        <v>-2.412822281225917</v>
      </c>
    </row>
    <row r="606" spans="1:4" x14ac:dyDescent="0.25">
      <c r="A606" t="s">
        <v>381</v>
      </c>
      <c r="B606" s="13">
        <f t="shared" si="13"/>
        <v>75.896122896854422</v>
      </c>
      <c r="C606" s="13">
        <f t="shared" si="13"/>
        <v>0.73723667891777767</v>
      </c>
      <c r="D606" s="13">
        <f t="shared" si="11"/>
        <v>-3.268489483956996</v>
      </c>
    </row>
    <row r="607" spans="1:4" x14ac:dyDescent="0.25">
      <c r="A607" t="s">
        <v>381</v>
      </c>
      <c r="B607" s="13">
        <f t="shared" si="13"/>
        <v>75.896122896854422</v>
      </c>
      <c r="C607" s="13">
        <f t="shared" si="13"/>
        <v>0.97924975626034161</v>
      </c>
      <c r="D607" s="13">
        <f t="shared" si="11"/>
        <v>-3.9644628756650735</v>
      </c>
    </row>
    <row r="608" spans="1:4" x14ac:dyDescent="0.25">
      <c r="A608" t="s">
        <v>381</v>
      </c>
      <c r="B608" s="13">
        <f t="shared" si="13"/>
        <v>75.896122896854422</v>
      </c>
      <c r="C608" s="13">
        <f t="shared" si="13"/>
        <v>1.4632759109454694</v>
      </c>
      <c r="D608" s="13">
        <f t="shared" si="11"/>
        <v>-5.0084368325525626</v>
      </c>
    </row>
    <row r="609" spans="1:4" x14ac:dyDescent="0.25">
      <c r="A609" t="s">
        <v>381</v>
      </c>
      <c r="B609" s="13">
        <f t="shared" si="13"/>
        <v>75.896122896854422</v>
      </c>
      <c r="C609" s="13">
        <f t="shared" si="13"/>
        <v>1.9473020656305973</v>
      </c>
      <c r="D609" s="13">
        <f t="shared" si="11"/>
        <v>-5.7280578632245298</v>
      </c>
    </row>
    <row r="610" spans="1:4" x14ac:dyDescent="0.25">
      <c r="A610" t="s">
        <v>381</v>
      </c>
      <c r="B610" s="13">
        <f t="shared" si="13"/>
        <v>75.896122896854422</v>
      </c>
      <c r="C610" s="13">
        <f t="shared" si="13"/>
        <v>2.4313282203157249</v>
      </c>
      <c r="D610" s="13">
        <f t="shared" si="11"/>
        <v>-6.2278642035327723</v>
      </c>
    </row>
    <row r="611" spans="1:4" x14ac:dyDescent="0.25">
      <c r="A611" t="s">
        <v>381</v>
      </c>
      <c r="B611" s="13">
        <f t="shared" si="13"/>
        <v>75.896122896854422</v>
      </c>
      <c r="C611" s="13">
        <f t="shared" si="13"/>
        <v>2.9153543750008528</v>
      </c>
      <c r="D611" s="13">
        <f t="shared" si="11"/>
        <v>-6.5718288590696341</v>
      </c>
    </row>
    <row r="612" spans="1:4" x14ac:dyDescent="0.25">
      <c r="A612" t="s">
        <v>381</v>
      </c>
      <c r="B612" s="13">
        <f t="shared" si="13"/>
        <v>75.896122896854422</v>
      </c>
      <c r="C612" s="13">
        <f t="shared" si="13"/>
        <v>3.3993805296859803</v>
      </c>
      <c r="D612" s="13">
        <f t="shared" si="11"/>
        <v>-6.8012958675668722</v>
      </c>
    </row>
    <row r="613" spans="1:4" x14ac:dyDescent="0.25">
      <c r="A613" t="s">
        <v>381</v>
      </c>
      <c r="B613" s="13">
        <f t="shared" si="13"/>
        <v>75.896122896854422</v>
      </c>
      <c r="C613" s="13">
        <f t="shared" si="13"/>
        <v>3.8834066843711086</v>
      </c>
      <c r="D613" s="13">
        <f t="shared" si="11"/>
        <v>-6.9441729666729124</v>
      </c>
    </row>
    <row r="614" spans="1:4" x14ac:dyDescent="0.25">
      <c r="A614" t="s">
        <v>381</v>
      </c>
      <c r="B614" s="13">
        <f t="shared" si="13"/>
        <v>75.896122896854422</v>
      </c>
      <c r="C614" s="13">
        <f t="shared" si="13"/>
        <v>4.367432839056236</v>
      </c>
      <c r="D614" s="13">
        <f t="shared" si="11"/>
        <v>-7.0199797368229166</v>
      </c>
    </row>
    <row r="615" spans="1:4" x14ac:dyDescent="0.25">
      <c r="A615" t="s">
        <v>381</v>
      </c>
      <c r="B615" s="13">
        <f t="shared" si="13"/>
        <v>75.896122896854422</v>
      </c>
      <c r="C615" s="13">
        <f t="shared" si="13"/>
        <v>4.8514589937413639</v>
      </c>
      <c r="D615" s="13">
        <f t="shared" si="11"/>
        <v>-7.0427788503840265</v>
      </c>
    </row>
    <row r="616" spans="1:4" x14ac:dyDescent="0.25">
      <c r="A616" t="s">
        <v>381</v>
      </c>
      <c r="B616" s="13">
        <f t="shared" si="13"/>
        <v>75.896122896854422</v>
      </c>
      <c r="C616" s="13">
        <f t="shared" si="13"/>
        <v>5.9035327691977448</v>
      </c>
      <c r="D616" s="13">
        <f t="shared" si="11"/>
        <v>-6.9402745355749627</v>
      </c>
    </row>
    <row r="617" spans="1:4" x14ac:dyDescent="0.25">
      <c r="A617" t="s">
        <v>381</v>
      </c>
      <c r="B617" s="13">
        <f t="shared" ref="B617:C632" si="14">B178</f>
        <v>75.896122896854422</v>
      </c>
      <c r="C617" s="13">
        <f t="shared" si="14"/>
        <v>6.9556065446541258</v>
      </c>
      <c r="D617" s="13">
        <f t="shared" si="11"/>
        <v>-6.9220601408196778</v>
      </c>
    </row>
    <row r="618" spans="1:4" x14ac:dyDescent="0.25">
      <c r="A618" t="s">
        <v>381</v>
      </c>
      <c r="B618" s="13">
        <f t="shared" si="14"/>
        <v>75.896122896854422</v>
      </c>
      <c r="C618" s="13">
        <f t="shared" si="14"/>
        <v>8.0076803201105058</v>
      </c>
      <c r="D618" s="13">
        <f t="shared" si="11"/>
        <v>-6.9881356661181702</v>
      </c>
    </row>
    <row r="619" spans="1:4" x14ac:dyDescent="0.25">
      <c r="A619" t="s">
        <v>381</v>
      </c>
      <c r="B619" s="13">
        <f t="shared" si="14"/>
        <v>75.896122896854422</v>
      </c>
      <c r="C619" s="13">
        <f t="shared" si="14"/>
        <v>9.0597540955668876</v>
      </c>
      <c r="D619" s="13">
        <f t="shared" si="11"/>
        <v>-7.1385011114704451</v>
      </c>
    </row>
    <row r="620" spans="1:4" x14ac:dyDescent="0.25">
      <c r="A620" t="s">
        <v>381</v>
      </c>
      <c r="B620" s="13">
        <f t="shared" si="14"/>
        <v>69.571445988783225</v>
      </c>
      <c r="C620" s="13">
        <f t="shared" si="14"/>
        <v>0</v>
      </c>
      <c r="D620" s="13">
        <f t="shared" si="11"/>
        <v>0</v>
      </c>
    </row>
    <row r="621" spans="1:4" x14ac:dyDescent="0.25">
      <c r="A621" t="s">
        <v>381</v>
      </c>
      <c r="B621" s="13">
        <f t="shared" si="14"/>
        <v>69.571445988783225</v>
      </c>
      <c r="C621" s="13">
        <f t="shared" si="14"/>
        <v>4.8514589937413644E-2</v>
      </c>
      <c r="D621" s="13">
        <f t="shared" si="11"/>
        <v>-0.38327691007826786</v>
      </c>
    </row>
    <row r="622" spans="1:4" x14ac:dyDescent="0.25">
      <c r="A622" t="s">
        <v>381</v>
      </c>
      <c r="B622" s="13">
        <f t="shared" si="14"/>
        <v>69.571445988783225</v>
      </c>
      <c r="C622" s="13">
        <f t="shared" si="14"/>
        <v>0.1455437698122409</v>
      </c>
      <c r="D622" s="13">
        <f t="shared" si="11"/>
        <v>-1.0712072671753523</v>
      </c>
    </row>
    <row r="623" spans="1:4" x14ac:dyDescent="0.25">
      <c r="A623" t="s">
        <v>381</v>
      </c>
      <c r="B623" s="13">
        <f t="shared" si="14"/>
        <v>69.571445988783225</v>
      </c>
      <c r="C623" s="13">
        <f t="shared" si="14"/>
        <v>0.24257294968706822</v>
      </c>
      <c r="D623" s="13">
        <f t="shared" si="11"/>
        <v>-1.6703098366310154</v>
      </c>
    </row>
    <row r="624" spans="1:4" x14ac:dyDescent="0.25">
      <c r="A624" t="s">
        <v>381</v>
      </c>
      <c r="B624" s="13">
        <f t="shared" si="14"/>
        <v>69.571445988783225</v>
      </c>
      <c r="C624" s="13">
        <f t="shared" si="14"/>
        <v>0.3396021295618955</v>
      </c>
      <c r="D624" s="13">
        <f t="shared" si="11"/>
        <v>-2.1959206346143616</v>
      </c>
    </row>
    <row r="625" spans="1:4" x14ac:dyDescent="0.25">
      <c r="A625" t="s">
        <v>381</v>
      </c>
      <c r="B625" s="13">
        <f t="shared" si="14"/>
        <v>69.571445988783225</v>
      </c>
      <c r="C625" s="13">
        <f t="shared" si="14"/>
        <v>0.48514589937413644</v>
      </c>
      <c r="D625" s="13">
        <f t="shared" si="11"/>
        <v>-2.872089762380106</v>
      </c>
    </row>
    <row r="626" spans="1:4" x14ac:dyDescent="0.25">
      <c r="A626" t="s">
        <v>381</v>
      </c>
      <c r="B626" s="13">
        <f t="shared" si="14"/>
        <v>69.571445988783225</v>
      </c>
      <c r="C626" s="13">
        <f t="shared" si="14"/>
        <v>0.72771884906120454</v>
      </c>
      <c r="D626" s="13">
        <f t="shared" si="11"/>
        <v>-3.7697261666408775</v>
      </c>
    </row>
    <row r="627" spans="1:4" x14ac:dyDescent="0.25">
      <c r="A627" t="s">
        <v>381</v>
      </c>
      <c r="B627" s="13">
        <f t="shared" si="14"/>
        <v>69.571445988783225</v>
      </c>
      <c r="C627" s="13">
        <f t="shared" si="14"/>
        <v>0.97029179874827287</v>
      </c>
      <c r="D627" s="13">
        <f t="shared" si="11"/>
        <v>-4.4587562769922533</v>
      </c>
    </row>
    <row r="628" spans="1:4" x14ac:dyDescent="0.25">
      <c r="A628" t="s">
        <v>381</v>
      </c>
      <c r="B628" s="13">
        <f t="shared" si="14"/>
        <v>69.571445988783225</v>
      </c>
      <c r="C628" s="13">
        <f t="shared" si="14"/>
        <v>1.4554376981224091</v>
      </c>
      <c r="D628" s="13">
        <f t="shared" si="11"/>
        <v>-5.4277215995053592</v>
      </c>
    </row>
    <row r="629" spans="1:4" x14ac:dyDescent="0.25">
      <c r="A629" t="s">
        <v>381</v>
      </c>
      <c r="B629" s="13">
        <f t="shared" si="14"/>
        <v>69.571445988783225</v>
      </c>
      <c r="C629" s="13">
        <f t="shared" si="14"/>
        <v>1.9405835974965457</v>
      </c>
      <c r="D629" s="13">
        <f t="shared" si="11"/>
        <v>-6.0524959802283389</v>
      </c>
    </row>
    <row r="630" spans="1:4" x14ac:dyDescent="0.25">
      <c r="A630" t="s">
        <v>381</v>
      </c>
      <c r="B630" s="13">
        <f t="shared" si="14"/>
        <v>69.571445988783225</v>
      </c>
      <c r="C630" s="13">
        <f t="shared" si="14"/>
        <v>2.425729496870682</v>
      </c>
      <c r="D630" s="13">
        <f t="shared" si="11"/>
        <v>-6.4658817401072417</v>
      </c>
    </row>
    <row r="631" spans="1:4" x14ac:dyDescent="0.25">
      <c r="A631" t="s">
        <v>381</v>
      </c>
      <c r="B631" s="13">
        <f t="shared" si="14"/>
        <v>69.571445988783225</v>
      </c>
      <c r="C631" s="13">
        <f t="shared" si="14"/>
        <v>2.9108753962448182</v>
      </c>
      <c r="D631" s="13">
        <f t="shared" si="11"/>
        <v>-6.7401463362568315</v>
      </c>
    </row>
    <row r="632" spans="1:4" x14ac:dyDescent="0.25">
      <c r="A632" t="s">
        <v>381</v>
      </c>
      <c r="B632" s="13">
        <f t="shared" si="14"/>
        <v>69.571445988783225</v>
      </c>
      <c r="C632" s="13">
        <f t="shared" si="14"/>
        <v>3.3960212956189544</v>
      </c>
      <c r="D632" s="13">
        <f t="shared" si="11"/>
        <v>-6.9179856571096687</v>
      </c>
    </row>
    <row r="633" spans="1:4" x14ac:dyDescent="0.25">
      <c r="A633" t="s">
        <v>381</v>
      </c>
      <c r="B633" s="13">
        <f t="shared" ref="B633:C648" si="15">B194</f>
        <v>69.571445988783225</v>
      </c>
      <c r="C633" s="13">
        <f t="shared" si="15"/>
        <v>3.8811671949930915</v>
      </c>
      <c r="D633" s="13">
        <f t="shared" ref="D633:D696" si="16">-D194</f>
        <v>-7.0262459945479785</v>
      </c>
    </row>
    <row r="634" spans="1:4" x14ac:dyDescent="0.25">
      <c r="A634" t="s">
        <v>381</v>
      </c>
      <c r="B634" s="13">
        <f t="shared" si="15"/>
        <v>69.571445988783225</v>
      </c>
      <c r="C634" s="13">
        <f t="shared" si="15"/>
        <v>4.3663130943672277</v>
      </c>
      <c r="D634" s="13">
        <f t="shared" si="16"/>
        <v>-7.0826540838357497</v>
      </c>
    </row>
    <row r="635" spans="1:4" x14ac:dyDescent="0.25">
      <c r="A635" t="s">
        <v>381</v>
      </c>
      <c r="B635" s="13">
        <f t="shared" si="15"/>
        <v>69.571445988783225</v>
      </c>
      <c r="C635" s="13">
        <f t="shared" si="15"/>
        <v>4.8514589937413639</v>
      </c>
      <c r="D635" s="13">
        <f t="shared" si="16"/>
        <v>-7.0993863285373875</v>
      </c>
    </row>
    <row r="636" spans="1:4" x14ac:dyDescent="0.25">
      <c r="A636" t="s">
        <v>381</v>
      </c>
      <c r="B636" s="13">
        <f t="shared" si="15"/>
        <v>69.571445988783225</v>
      </c>
      <c r="C636" s="13">
        <f t="shared" si="15"/>
        <v>5.8911876791823943</v>
      </c>
      <c r="D636" s="13">
        <f t="shared" si="16"/>
        <v>-7.0505917104956772</v>
      </c>
    </row>
    <row r="637" spans="1:4" x14ac:dyDescent="0.25">
      <c r="A637" t="s">
        <v>381</v>
      </c>
      <c r="B637" s="13">
        <f t="shared" si="15"/>
        <v>69.571445988783225</v>
      </c>
      <c r="C637" s="13">
        <f t="shared" si="15"/>
        <v>6.9309163646234246</v>
      </c>
      <c r="D637" s="13">
        <f t="shared" si="16"/>
        <v>-7.0436921565934139</v>
      </c>
    </row>
    <row r="638" spans="1:4" x14ac:dyDescent="0.25">
      <c r="A638" t="s">
        <v>381</v>
      </c>
      <c r="B638" s="13">
        <f t="shared" si="15"/>
        <v>69.571445988783225</v>
      </c>
      <c r="C638" s="13">
        <f t="shared" si="15"/>
        <v>7.970645050064455</v>
      </c>
      <c r="D638" s="13">
        <f t="shared" si="16"/>
        <v>-7.0786876668305974</v>
      </c>
    </row>
    <row r="639" spans="1:4" x14ac:dyDescent="0.25">
      <c r="A639" t="s">
        <v>381</v>
      </c>
      <c r="B639" s="13">
        <f t="shared" si="15"/>
        <v>69.571445988783225</v>
      </c>
      <c r="C639" s="13">
        <f t="shared" si="15"/>
        <v>9.0103737355054854</v>
      </c>
      <c r="D639" s="13">
        <f t="shared" si="16"/>
        <v>-7.1555782412072286</v>
      </c>
    </row>
    <row r="640" spans="1:4" x14ac:dyDescent="0.25">
      <c r="A640" t="s">
        <v>381</v>
      </c>
      <c r="B640" s="13">
        <f t="shared" si="15"/>
        <v>63.246769080712028</v>
      </c>
      <c r="C640" s="13">
        <f t="shared" si="15"/>
        <v>0</v>
      </c>
      <c r="D640" s="13">
        <f t="shared" si="16"/>
        <v>0</v>
      </c>
    </row>
    <row r="641" spans="1:4" x14ac:dyDescent="0.25">
      <c r="A641" t="s">
        <v>381</v>
      </c>
      <c r="B641" s="13">
        <f t="shared" si="15"/>
        <v>63.246769080712028</v>
      </c>
      <c r="C641" s="13">
        <f t="shared" si="15"/>
        <v>4.8514589937413644E-2</v>
      </c>
      <c r="D641" s="13">
        <f t="shared" si="16"/>
        <v>-0.48722035761400562</v>
      </c>
    </row>
    <row r="642" spans="1:4" x14ac:dyDescent="0.25">
      <c r="A642" t="s">
        <v>381</v>
      </c>
      <c r="B642" s="13">
        <f t="shared" si="15"/>
        <v>63.246769080712028</v>
      </c>
      <c r="C642" s="13">
        <f t="shared" si="15"/>
        <v>0.1455437698122409</v>
      </c>
      <c r="D642" s="13">
        <f t="shared" si="16"/>
        <v>-1.3209008727909985</v>
      </c>
    </row>
    <row r="643" spans="1:4" x14ac:dyDescent="0.25">
      <c r="A643" t="s">
        <v>381</v>
      </c>
      <c r="B643" s="13">
        <f t="shared" si="15"/>
        <v>63.246769080712028</v>
      </c>
      <c r="C643" s="13">
        <f t="shared" si="15"/>
        <v>0.24257294968706822</v>
      </c>
      <c r="D643" s="13">
        <f t="shared" si="16"/>
        <v>-2.0073208326207683</v>
      </c>
    </row>
    <row r="644" spans="1:4" x14ac:dyDescent="0.25">
      <c r="A644" t="s">
        <v>381</v>
      </c>
      <c r="B644" s="13">
        <f t="shared" si="15"/>
        <v>63.246769080712028</v>
      </c>
      <c r="C644" s="13">
        <f t="shared" si="15"/>
        <v>0.3396021295618955</v>
      </c>
      <c r="D644" s="13">
        <f t="shared" si="16"/>
        <v>-2.5815194313755394</v>
      </c>
    </row>
    <row r="645" spans="1:4" x14ac:dyDescent="0.25">
      <c r="A645" t="s">
        <v>381</v>
      </c>
      <c r="B645" s="13">
        <f t="shared" si="15"/>
        <v>63.246769080712028</v>
      </c>
      <c r="C645" s="13">
        <f t="shared" si="15"/>
        <v>0.48514589937413644</v>
      </c>
      <c r="D645" s="13">
        <f t="shared" si="16"/>
        <v>-3.2846025540624413</v>
      </c>
    </row>
    <row r="646" spans="1:4" x14ac:dyDescent="0.25">
      <c r="A646" t="s">
        <v>381</v>
      </c>
      <c r="B646" s="13">
        <f t="shared" si="15"/>
        <v>63.246769080712028</v>
      </c>
      <c r="C646" s="13">
        <f t="shared" si="15"/>
        <v>0.72771884906120454</v>
      </c>
      <c r="D646" s="13">
        <f t="shared" si="16"/>
        <v>-4.1615189796341889</v>
      </c>
    </row>
    <row r="647" spans="1:4" x14ac:dyDescent="0.25">
      <c r="A647" t="s">
        <v>381</v>
      </c>
      <c r="B647" s="13">
        <f t="shared" si="15"/>
        <v>63.246769080712028</v>
      </c>
      <c r="C647" s="13">
        <f t="shared" si="15"/>
        <v>0.97029179874827287</v>
      </c>
      <c r="D647" s="13">
        <f t="shared" si="16"/>
        <v>-4.795214031363737</v>
      </c>
    </row>
    <row r="648" spans="1:4" x14ac:dyDescent="0.25">
      <c r="A648" t="s">
        <v>381</v>
      </c>
      <c r="B648" s="13">
        <f t="shared" si="15"/>
        <v>63.246769080712028</v>
      </c>
      <c r="C648" s="13">
        <f t="shared" si="15"/>
        <v>1.4554376981224091</v>
      </c>
      <c r="D648" s="13">
        <f t="shared" si="16"/>
        <v>-5.6356020504387363</v>
      </c>
    </row>
    <row r="649" spans="1:4" x14ac:dyDescent="0.25">
      <c r="A649" t="s">
        <v>381</v>
      </c>
      <c r="B649" s="13">
        <f t="shared" ref="B649:C664" si="17">B210</f>
        <v>63.246769080712028</v>
      </c>
      <c r="C649" s="13">
        <f t="shared" si="17"/>
        <v>1.9405835974965457</v>
      </c>
      <c r="D649" s="13">
        <f t="shared" si="16"/>
        <v>-6.1511451292409047</v>
      </c>
    </row>
    <row r="650" spans="1:4" x14ac:dyDescent="0.25">
      <c r="A650" t="s">
        <v>381</v>
      </c>
      <c r="B650" s="13">
        <f t="shared" si="17"/>
        <v>63.246769080712028</v>
      </c>
      <c r="C650" s="13">
        <f t="shared" si="17"/>
        <v>2.425729496870682</v>
      </c>
      <c r="D650" s="13">
        <f t="shared" si="16"/>
        <v>-6.4847025238582088</v>
      </c>
    </row>
    <row r="651" spans="1:4" x14ac:dyDescent="0.25">
      <c r="A651" t="s">
        <v>381</v>
      </c>
      <c r="B651" s="13">
        <f t="shared" si="17"/>
        <v>63.246769080712028</v>
      </c>
      <c r="C651" s="13">
        <f t="shared" si="17"/>
        <v>2.9108753962448182</v>
      </c>
      <c r="D651" s="13">
        <f t="shared" si="16"/>
        <v>-6.7060750503105959</v>
      </c>
    </row>
    <row r="652" spans="1:4" x14ac:dyDescent="0.25">
      <c r="A652" t="s">
        <v>381</v>
      </c>
      <c r="B652" s="13">
        <f t="shared" si="17"/>
        <v>63.246769080712028</v>
      </c>
      <c r="C652" s="13">
        <f t="shared" si="17"/>
        <v>3.3960212956189544</v>
      </c>
      <c r="D652" s="13">
        <f t="shared" si="16"/>
        <v>-6.8534137209162491</v>
      </c>
    </row>
    <row r="653" spans="1:4" x14ac:dyDescent="0.25">
      <c r="A653" t="s">
        <v>381</v>
      </c>
      <c r="B653" s="13">
        <f t="shared" si="17"/>
        <v>63.246769080712028</v>
      </c>
      <c r="C653" s="13">
        <f t="shared" si="17"/>
        <v>3.8811671949930915</v>
      </c>
      <c r="D653" s="13">
        <f t="shared" si="16"/>
        <v>-6.9493320201251318</v>
      </c>
    </row>
    <row r="654" spans="1:4" x14ac:dyDescent="0.25">
      <c r="A654" t="s">
        <v>381</v>
      </c>
      <c r="B654" s="13">
        <f t="shared" si="17"/>
        <v>63.246769080712028</v>
      </c>
      <c r="C654" s="13">
        <f t="shared" si="17"/>
        <v>4.3663130943672277</v>
      </c>
      <c r="D654" s="13">
        <f t="shared" si="16"/>
        <v>-7.0080848181571458</v>
      </c>
    </row>
    <row r="655" spans="1:4" x14ac:dyDescent="0.25">
      <c r="A655" t="s">
        <v>381</v>
      </c>
      <c r="B655" s="13">
        <f t="shared" si="17"/>
        <v>63.246769080712028</v>
      </c>
      <c r="C655" s="13">
        <f t="shared" si="17"/>
        <v>4.8514589937413639</v>
      </c>
      <c r="D655" s="13">
        <f t="shared" si="16"/>
        <v>-7.0391036724598841</v>
      </c>
    </row>
    <row r="656" spans="1:4" x14ac:dyDescent="0.25">
      <c r="A656" t="s">
        <v>381</v>
      </c>
      <c r="B656" s="13">
        <f t="shared" si="17"/>
        <v>63.246769080712028</v>
      </c>
      <c r="C656" s="13">
        <f t="shared" si="17"/>
        <v>5.8789014874420875</v>
      </c>
      <c r="D656" s="13">
        <f t="shared" si="16"/>
        <v>-7.0745672028940625</v>
      </c>
    </row>
    <row r="657" spans="1:4" x14ac:dyDescent="0.25">
      <c r="A657" t="s">
        <v>381</v>
      </c>
      <c r="B657" s="13">
        <f t="shared" si="17"/>
        <v>63.246769080712028</v>
      </c>
      <c r="C657" s="13">
        <f t="shared" si="17"/>
        <v>6.9063439811428102</v>
      </c>
      <c r="D657" s="13">
        <f t="shared" si="16"/>
        <v>-7.0983723900706526</v>
      </c>
    </row>
    <row r="658" spans="1:4" x14ac:dyDescent="0.25">
      <c r="A658" t="s">
        <v>381</v>
      </c>
      <c r="B658" s="13">
        <f t="shared" si="17"/>
        <v>63.246769080712028</v>
      </c>
      <c r="C658" s="13">
        <f t="shared" si="17"/>
        <v>7.9337864748435329</v>
      </c>
      <c r="D658" s="13">
        <f t="shared" si="16"/>
        <v>-7.1105192339896552</v>
      </c>
    </row>
    <row r="659" spans="1:4" x14ac:dyDescent="0.25">
      <c r="A659" t="s">
        <v>381</v>
      </c>
      <c r="B659" s="13">
        <f t="shared" si="17"/>
        <v>63.246769080712028</v>
      </c>
      <c r="C659" s="13">
        <f t="shared" si="17"/>
        <v>8.9612289685442565</v>
      </c>
      <c r="D659" s="13">
        <f t="shared" si="16"/>
        <v>-7.1110077346510696</v>
      </c>
    </row>
    <row r="660" spans="1:4" x14ac:dyDescent="0.25">
      <c r="A660" t="s">
        <v>381</v>
      </c>
      <c r="B660" s="13">
        <f t="shared" si="17"/>
        <v>56.922092172640824</v>
      </c>
      <c r="C660" s="13">
        <f t="shared" si="17"/>
        <v>0</v>
      </c>
      <c r="D660" s="13">
        <f t="shared" si="16"/>
        <v>0</v>
      </c>
    </row>
    <row r="661" spans="1:4" x14ac:dyDescent="0.25">
      <c r="A661" t="s">
        <v>381</v>
      </c>
      <c r="B661" s="13">
        <f t="shared" si="17"/>
        <v>56.922092172640824</v>
      </c>
      <c r="C661" s="13">
        <f t="shared" si="17"/>
        <v>4.8514589937413644E-2</v>
      </c>
      <c r="D661" s="13">
        <f t="shared" si="16"/>
        <v>-0.70571449868628622</v>
      </c>
    </row>
    <row r="662" spans="1:4" x14ac:dyDescent="0.25">
      <c r="A662" t="s">
        <v>381</v>
      </c>
      <c r="B662" s="13">
        <f t="shared" si="17"/>
        <v>56.922092172640824</v>
      </c>
      <c r="C662" s="13">
        <f t="shared" si="17"/>
        <v>0.1455437698122409</v>
      </c>
      <c r="D662" s="13">
        <f t="shared" si="16"/>
        <v>-1.772966030232586</v>
      </c>
    </row>
    <row r="663" spans="1:4" x14ac:dyDescent="0.25">
      <c r="A663" t="s">
        <v>381</v>
      </c>
      <c r="B663" s="13">
        <f t="shared" si="17"/>
        <v>56.922092172640824</v>
      </c>
      <c r="C663" s="13">
        <f t="shared" si="17"/>
        <v>0.24257294968706822</v>
      </c>
      <c r="D663" s="13">
        <f t="shared" si="16"/>
        <v>-2.5422319141929957</v>
      </c>
    </row>
    <row r="664" spans="1:4" x14ac:dyDescent="0.25">
      <c r="A664" t="s">
        <v>381</v>
      </c>
      <c r="B664" s="13">
        <f t="shared" si="17"/>
        <v>56.922092172640824</v>
      </c>
      <c r="C664" s="13">
        <f t="shared" si="17"/>
        <v>0.3396021295618955</v>
      </c>
      <c r="D664" s="13">
        <f t="shared" si="16"/>
        <v>-3.1234770613226468</v>
      </c>
    </row>
    <row r="665" spans="1:4" x14ac:dyDescent="0.25">
      <c r="A665" t="s">
        <v>381</v>
      </c>
      <c r="B665" s="13">
        <f t="shared" ref="B665:C680" si="18">B226</f>
        <v>56.922092172640824</v>
      </c>
      <c r="C665" s="13">
        <f t="shared" si="18"/>
        <v>0.48514589937413644</v>
      </c>
      <c r="D665" s="13">
        <f t="shared" si="16"/>
        <v>-3.770942288355438</v>
      </c>
    </row>
    <row r="666" spans="1:4" x14ac:dyDescent="0.25">
      <c r="A666" t="s">
        <v>381</v>
      </c>
      <c r="B666" s="13">
        <f t="shared" si="18"/>
        <v>56.922092172640824</v>
      </c>
      <c r="C666" s="13">
        <f t="shared" si="18"/>
        <v>0.72771884906120454</v>
      </c>
      <c r="D666" s="13">
        <f t="shared" si="16"/>
        <v>-4.4983189476229501</v>
      </c>
    </row>
    <row r="667" spans="1:4" x14ac:dyDescent="0.25">
      <c r="A667" t="s">
        <v>381</v>
      </c>
      <c r="B667" s="13">
        <f t="shared" si="18"/>
        <v>56.922092172640824</v>
      </c>
      <c r="C667" s="13">
        <f t="shared" si="18"/>
        <v>0.97029179874827287</v>
      </c>
      <c r="D667" s="13">
        <f t="shared" si="16"/>
        <v>-4.981377470395727</v>
      </c>
    </row>
    <row r="668" spans="1:4" x14ac:dyDescent="0.25">
      <c r="A668" t="s">
        <v>381</v>
      </c>
      <c r="B668" s="13">
        <f t="shared" si="18"/>
        <v>56.922092172640824</v>
      </c>
      <c r="C668" s="13">
        <f t="shared" si="18"/>
        <v>1.4554376981224091</v>
      </c>
      <c r="D668" s="13">
        <f t="shared" si="16"/>
        <v>-5.5879349254714477</v>
      </c>
    </row>
    <row r="669" spans="1:4" x14ac:dyDescent="0.25">
      <c r="A669" t="s">
        <v>381</v>
      </c>
      <c r="B669" s="13">
        <f t="shared" si="18"/>
        <v>56.922092172640824</v>
      </c>
      <c r="C669" s="13">
        <f t="shared" si="18"/>
        <v>1.9405835974965457</v>
      </c>
      <c r="D669" s="13">
        <f t="shared" si="16"/>
        <v>-5.958392126388631</v>
      </c>
    </row>
    <row r="670" spans="1:4" x14ac:dyDescent="0.25">
      <c r="A670" t="s">
        <v>381</v>
      </c>
      <c r="B670" s="13">
        <f t="shared" si="18"/>
        <v>56.922092172640824</v>
      </c>
      <c r="C670" s="13">
        <f t="shared" si="18"/>
        <v>2.425729496870682</v>
      </c>
      <c r="D670" s="13">
        <f t="shared" si="16"/>
        <v>-6.2122754524313493</v>
      </c>
    </row>
    <row r="671" spans="1:4" x14ac:dyDescent="0.25">
      <c r="A671" t="s">
        <v>381</v>
      </c>
      <c r="B671" s="13">
        <f t="shared" si="18"/>
        <v>56.922092172640824</v>
      </c>
      <c r="C671" s="13">
        <f t="shared" si="18"/>
        <v>2.9108753962448182</v>
      </c>
      <c r="D671" s="13">
        <f t="shared" si="16"/>
        <v>-6.4000796958574666</v>
      </c>
    </row>
    <row r="672" spans="1:4" x14ac:dyDescent="0.25">
      <c r="A672" t="s">
        <v>381</v>
      </c>
      <c r="B672" s="13">
        <f t="shared" si="18"/>
        <v>56.922092172640824</v>
      </c>
      <c r="C672" s="13">
        <f t="shared" si="18"/>
        <v>3.3960212956189544</v>
      </c>
      <c r="D672" s="13">
        <f t="shared" si="16"/>
        <v>-6.546816196096664</v>
      </c>
    </row>
    <row r="673" spans="1:4" x14ac:dyDescent="0.25">
      <c r="A673" t="s">
        <v>381</v>
      </c>
      <c r="B673" s="13">
        <f t="shared" si="18"/>
        <v>56.922092172640824</v>
      </c>
      <c r="C673" s="13">
        <f t="shared" si="18"/>
        <v>3.8811671949930915</v>
      </c>
      <c r="D673" s="13">
        <f t="shared" si="16"/>
        <v>-6.6662878525577449</v>
      </c>
    </row>
    <row r="674" spans="1:4" x14ac:dyDescent="0.25">
      <c r="A674" t="s">
        <v>381</v>
      </c>
      <c r="B674" s="13">
        <f t="shared" si="18"/>
        <v>56.922092172640824</v>
      </c>
      <c r="C674" s="13">
        <f t="shared" si="18"/>
        <v>4.3663130943672277</v>
      </c>
      <c r="D674" s="13">
        <f t="shared" si="16"/>
        <v>-6.7667351848195789</v>
      </c>
    </row>
    <row r="675" spans="1:4" x14ac:dyDescent="0.25">
      <c r="A675" t="s">
        <v>381</v>
      </c>
      <c r="B675" s="13">
        <f t="shared" si="18"/>
        <v>56.922092172640824</v>
      </c>
      <c r="C675" s="13">
        <f t="shared" si="18"/>
        <v>4.8514589937413639</v>
      </c>
      <c r="D675" s="13">
        <f t="shared" si="16"/>
        <v>-6.8533818357117688</v>
      </c>
    </row>
    <row r="676" spans="1:4" x14ac:dyDescent="0.25">
      <c r="A676" t="s">
        <v>381</v>
      </c>
      <c r="B676" s="13">
        <f t="shared" si="18"/>
        <v>56.922092172640824</v>
      </c>
      <c r="C676" s="13">
        <f t="shared" si="18"/>
        <v>5.8786038578464002</v>
      </c>
      <c r="D676" s="13">
        <f t="shared" si="16"/>
        <v>-6.9915309103973096</v>
      </c>
    </row>
    <row r="677" spans="1:4" x14ac:dyDescent="0.25">
      <c r="A677" t="s">
        <v>381</v>
      </c>
      <c r="B677" s="13">
        <f t="shared" si="18"/>
        <v>56.922092172640824</v>
      </c>
      <c r="C677" s="13">
        <f t="shared" si="18"/>
        <v>6.9057487219514373</v>
      </c>
      <c r="D677" s="13">
        <f t="shared" si="16"/>
        <v>-7.0629538318767464</v>
      </c>
    </row>
    <row r="678" spans="1:4" x14ac:dyDescent="0.25">
      <c r="A678" t="s">
        <v>381</v>
      </c>
      <c r="B678" s="13">
        <f t="shared" si="18"/>
        <v>56.922092172640824</v>
      </c>
      <c r="C678" s="13">
        <f t="shared" si="18"/>
        <v>7.9328935860564744</v>
      </c>
      <c r="D678" s="13">
        <f t="shared" si="16"/>
        <v>-7.0676506001500794</v>
      </c>
    </row>
    <row r="679" spans="1:4" x14ac:dyDescent="0.25">
      <c r="A679" t="s">
        <v>381</v>
      </c>
      <c r="B679" s="13">
        <f t="shared" si="18"/>
        <v>56.922092172640824</v>
      </c>
      <c r="C679" s="13">
        <f t="shared" si="18"/>
        <v>8.9600384501615107</v>
      </c>
      <c r="D679" s="13">
        <f t="shared" si="16"/>
        <v>-7.0056212152173085</v>
      </c>
    </row>
    <row r="680" spans="1:4" x14ac:dyDescent="0.25">
      <c r="A680" t="s">
        <v>381</v>
      </c>
      <c r="B680" s="13">
        <f t="shared" si="18"/>
        <v>50.597415264569619</v>
      </c>
      <c r="C680" s="13">
        <f t="shared" si="18"/>
        <v>0</v>
      </c>
      <c r="D680" s="13">
        <f t="shared" si="16"/>
        <v>0</v>
      </c>
    </row>
    <row r="681" spans="1:4" x14ac:dyDescent="0.25">
      <c r="A681" t="s">
        <v>381</v>
      </c>
      <c r="B681" s="13">
        <f t="shared" ref="B681:C696" si="19">B242</f>
        <v>50.597415264569619</v>
      </c>
      <c r="C681" s="13">
        <f t="shared" si="19"/>
        <v>4.8514589937413644E-2</v>
      </c>
      <c r="D681" s="13">
        <f t="shared" si="16"/>
        <v>-1.1109664277450284</v>
      </c>
    </row>
    <row r="682" spans="1:4" x14ac:dyDescent="0.25">
      <c r="A682" t="s">
        <v>381</v>
      </c>
      <c r="B682" s="13">
        <f t="shared" si="19"/>
        <v>50.597415264569619</v>
      </c>
      <c r="C682" s="13">
        <f t="shared" si="19"/>
        <v>0.1455437698122409</v>
      </c>
      <c r="D682" s="13">
        <f t="shared" si="16"/>
        <v>-2.3978280483407017</v>
      </c>
    </row>
    <row r="683" spans="1:4" x14ac:dyDescent="0.25">
      <c r="A683" t="s">
        <v>381</v>
      </c>
      <c r="B683" s="13">
        <f t="shared" si="19"/>
        <v>50.597415264569619</v>
      </c>
      <c r="C683" s="13">
        <f t="shared" si="19"/>
        <v>0.24257294968706822</v>
      </c>
      <c r="D683" s="13">
        <f t="shared" si="16"/>
        <v>-3.126638937295982</v>
      </c>
    </row>
    <row r="684" spans="1:4" x14ac:dyDescent="0.25">
      <c r="A684" t="s">
        <v>381</v>
      </c>
      <c r="B684" s="13">
        <f t="shared" si="19"/>
        <v>50.597415264569619</v>
      </c>
      <c r="C684" s="13">
        <f t="shared" si="19"/>
        <v>0.3396021295618955</v>
      </c>
      <c r="D684" s="13">
        <f t="shared" si="16"/>
        <v>-3.6003742721758103</v>
      </c>
    </row>
    <row r="685" spans="1:4" x14ac:dyDescent="0.25">
      <c r="A685" t="s">
        <v>381</v>
      </c>
      <c r="B685" s="13">
        <f t="shared" si="19"/>
        <v>50.597415264569619</v>
      </c>
      <c r="C685" s="13">
        <f t="shared" si="19"/>
        <v>0.48514589937413644</v>
      </c>
      <c r="D685" s="13">
        <f t="shared" si="16"/>
        <v>-4.0709689406373499</v>
      </c>
    </row>
    <row r="686" spans="1:4" x14ac:dyDescent="0.25">
      <c r="A686" t="s">
        <v>381</v>
      </c>
      <c r="B686" s="13">
        <f t="shared" si="19"/>
        <v>50.597415264569619</v>
      </c>
      <c r="C686" s="13">
        <f t="shared" si="19"/>
        <v>0.72771884906120454</v>
      </c>
      <c r="D686" s="13">
        <f t="shared" si="16"/>
        <v>-4.5512158841397161</v>
      </c>
    </row>
    <row r="687" spans="1:4" x14ac:dyDescent="0.25">
      <c r="A687" t="s">
        <v>381</v>
      </c>
      <c r="B687" s="13">
        <f t="shared" si="19"/>
        <v>50.597415264569619</v>
      </c>
      <c r="C687" s="13">
        <f t="shared" si="19"/>
        <v>0.97029179874827287</v>
      </c>
      <c r="D687" s="13">
        <f t="shared" si="16"/>
        <v>-4.8568116340061893</v>
      </c>
    </row>
    <row r="688" spans="1:4" x14ac:dyDescent="0.25">
      <c r="A688" t="s">
        <v>381</v>
      </c>
      <c r="B688" s="13">
        <f t="shared" si="19"/>
        <v>50.597415264569619</v>
      </c>
      <c r="C688" s="13">
        <f t="shared" si="19"/>
        <v>1.4554376981224091</v>
      </c>
      <c r="D688" s="13">
        <f t="shared" si="16"/>
        <v>-5.2517921723609415</v>
      </c>
    </row>
    <row r="689" spans="1:4" x14ac:dyDescent="0.25">
      <c r="A689" t="s">
        <v>381</v>
      </c>
      <c r="B689" s="13">
        <f t="shared" si="19"/>
        <v>50.597415264569619</v>
      </c>
      <c r="C689" s="13">
        <f t="shared" si="19"/>
        <v>1.9405835974965457</v>
      </c>
      <c r="D689" s="13">
        <f t="shared" si="16"/>
        <v>-5.522096435965568</v>
      </c>
    </row>
    <row r="690" spans="1:4" x14ac:dyDescent="0.25">
      <c r="A690" t="s">
        <v>381</v>
      </c>
      <c r="B690" s="13">
        <f t="shared" si="19"/>
        <v>50.597415264569619</v>
      </c>
      <c r="C690" s="13">
        <f t="shared" si="19"/>
        <v>2.425729496870682</v>
      </c>
      <c r="D690" s="13">
        <f t="shared" si="16"/>
        <v>-5.7369231358962072</v>
      </c>
    </row>
    <row r="691" spans="1:4" x14ac:dyDescent="0.25">
      <c r="A691" t="s">
        <v>381</v>
      </c>
      <c r="B691" s="13">
        <f t="shared" si="19"/>
        <v>50.597415264569619</v>
      </c>
      <c r="C691" s="13">
        <f t="shared" si="19"/>
        <v>2.9108753962448182</v>
      </c>
      <c r="D691" s="13">
        <f t="shared" si="16"/>
        <v>-5.922256505490636</v>
      </c>
    </row>
    <row r="692" spans="1:4" x14ac:dyDescent="0.25">
      <c r="A692" t="s">
        <v>381</v>
      </c>
      <c r="B692" s="13">
        <f t="shared" si="19"/>
        <v>50.597415264569619</v>
      </c>
      <c r="C692" s="13">
        <f t="shared" si="19"/>
        <v>3.3960212956189544</v>
      </c>
      <c r="D692" s="13">
        <f t="shared" si="16"/>
        <v>-6.0900449985542737</v>
      </c>
    </row>
    <row r="693" spans="1:4" x14ac:dyDescent="0.25">
      <c r="A693" t="s">
        <v>381</v>
      </c>
      <c r="B693" s="13">
        <f t="shared" si="19"/>
        <v>50.597415264569619</v>
      </c>
      <c r="C693" s="13">
        <f t="shared" si="19"/>
        <v>3.8811671949930915</v>
      </c>
      <c r="D693" s="13">
        <f t="shared" si="16"/>
        <v>-6.2465508094426534</v>
      </c>
    </row>
    <row r="694" spans="1:4" x14ac:dyDescent="0.25">
      <c r="A694" t="s">
        <v>381</v>
      </c>
      <c r="B694" s="13">
        <f t="shared" si="19"/>
        <v>50.597415264569619</v>
      </c>
      <c r="C694" s="13">
        <f t="shared" si="19"/>
        <v>4.3663130943672277</v>
      </c>
      <c r="D694" s="13">
        <f t="shared" si="16"/>
        <v>-6.3953728256965894</v>
      </c>
    </row>
    <row r="695" spans="1:4" x14ac:dyDescent="0.25">
      <c r="A695" t="s">
        <v>381</v>
      </c>
      <c r="B695" s="13">
        <f t="shared" si="19"/>
        <v>50.597415264569619</v>
      </c>
      <c r="C695" s="13">
        <f t="shared" si="19"/>
        <v>4.8514589937413639</v>
      </c>
      <c r="D695" s="13">
        <f t="shared" si="16"/>
        <v>-6.538726431309354</v>
      </c>
    </row>
    <row r="696" spans="1:4" x14ac:dyDescent="0.25">
      <c r="A696" t="s">
        <v>381</v>
      </c>
      <c r="B696" s="13">
        <f t="shared" si="19"/>
        <v>50.597415264569619</v>
      </c>
      <c r="C696" s="13">
        <f t="shared" si="19"/>
        <v>5.8847451797176085</v>
      </c>
      <c r="D696" s="13">
        <f t="shared" si="16"/>
        <v>-6.7827656650744181</v>
      </c>
    </row>
    <row r="697" spans="1:4" x14ac:dyDescent="0.25">
      <c r="A697" t="s">
        <v>381</v>
      </c>
      <c r="B697" s="13">
        <f t="shared" ref="B697:C712" si="20">B258</f>
        <v>50.597415264569619</v>
      </c>
      <c r="C697" s="13">
        <f t="shared" si="20"/>
        <v>6.9180313656938521</v>
      </c>
      <c r="D697" s="13">
        <f t="shared" ref="D697:D760" si="21">-D258</f>
        <v>-6.9136492782057637</v>
      </c>
    </row>
    <row r="698" spans="1:4" x14ac:dyDescent="0.25">
      <c r="A698" t="s">
        <v>381</v>
      </c>
      <c r="B698" s="13">
        <f t="shared" si="20"/>
        <v>50.597415264569619</v>
      </c>
      <c r="C698" s="13">
        <f t="shared" si="20"/>
        <v>7.9513175516700958</v>
      </c>
      <c r="D698" s="13">
        <f t="shared" si="21"/>
        <v>-6.931377270703388</v>
      </c>
    </row>
    <row r="699" spans="1:4" x14ac:dyDescent="0.25">
      <c r="A699" t="s">
        <v>381</v>
      </c>
      <c r="B699" s="13">
        <f t="shared" si="20"/>
        <v>50.597415264569619</v>
      </c>
      <c r="C699" s="13">
        <f t="shared" si="20"/>
        <v>8.9846037376463403</v>
      </c>
      <c r="D699" s="13">
        <f t="shared" si="21"/>
        <v>-6.8359496425672939</v>
      </c>
    </row>
    <row r="700" spans="1:4" x14ac:dyDescent="0.25">
      <c r="A700" t="s">
        <v>381</v>
      </c>
      <c r="B700" s="13">
        <f t="shared" si="20"/>
        <v>44.272738356498415</v>
      </c>
      <c r="C700" s="13">
        <f t="shared" si="20"/>
        <v>0</v>
      </c>
      <c r="D700" s="13">
        <f t="shared" si="21"/>
        <v>0</v>
      </c>
    </row>
    <row r="701" spans="1:4" x14ac:dyDescent="0.25">
      <c r="A701" t="s">
        <v>381</v>
      </c>
      <c r="B701" s="13">
        <f t="shared" si="20"/>
        <v>44.272738356498415</v>
      </c>
      <c r="C701" s="13">
        <f t="shared" si="20"/>
        <v>4.8514589937413644E-2</v>
      </c>
      <c r="D701" s="13">
        <f t="shared" si="21"/>
        <v>-1.6373124659651261</v>
      </c>
    </row>
    <row r="702" spans="1:4" x14ac:dyDescent="0.25">
      <c r="A702" t="s">
        <v>381</v>
      </c>
      <c r="B702" s="13">
        <f t="shared" si="20"/>
        <v>44.272738356498415</v>
      </c>
      <c r="C702" s="13">
        <f t="shared" si="20"/>
        <v>0.1455437698122409</v>
      </c>
      <c r="D702" s="13">
        <f t="shared" si="21"/>
        <v>-2.8421088674158774</v>
      </c>
    </row>
    <row r="703" spans="1:4" x14ac:dyDescent="0.25">
      <c r="A703" t="s">
        <v>381</v>
      </c>
      <c r="B703" s="13">
        <f t="shared" si="20"/>
        <v>44.272738356498415</v>
      </c>
      <c r="C703" s="13">
        <f t="shared" si="20"/>
        <v>0.24257294968706822</v>
      </c>
      <c r="D703" s="13">
        <f t="shared" si="21"/>
        <v>-3.3485601983035407</v>
      </c>
    </row>
    <row r="704" spans="1:4" x14ac:dyDescent="0.25">
      <c r="A704" t="s">
        <v>381</v>
      </c>
      <c r="B704" s="13">
        <f t="shared" si="20"/>
        <v>44.272738356498415</v>
      </c>
      <c r="C704" s="13">
        <f t="shared" si="20"/>
        <v>0.3396021295618955</v>
      </c>
      <c r="D704" s="13">
        <f t="shared" si="21"/>
        <v>-3.638625023748765</v>
      </c>
    </row>
    <row r="705" spans="1:4" x14ac:dyDescent="0.25">
      <c r="A705" t="s">
        <v>381</v>
      </c>
      <c r="B705" s="13">
        <f t="shared" si="20"/>
        <v>44.272738356498415</v>
      </c>
      <c r="C705" s="13">
        <f t="shared" si="20"/>
        <v>0.48514589937413644</v>
      </c>
      <c r="D705" s="13">
        <f t="shared" si="21"/>
        <v>-3.9108667157510117</v>
      </c>
    </row>
    <row r="706" spans="1:4" x14ac:dyDescent="0.25">
      <c r="A706" t="s">
        <v>381</v>
      </c>
      <c r="B706" s="13">
        <f t="shared" si="20"/>
        <v>44.272738356498415</v>
      </c>
      <c r="C706" s="13">
        <f t="shared" si="20"/>
        <v>0.72771884906120454</v>
      </c>
      <c r="D706" s="13">
        <f t="shared" si="21"/>
        <v>-4.1904661539225572</v>
      </c>
    </row>
    <row r="707" spans="1:4" x14ac:dyDescent="0.25">
      <c r="A707" t="s">
        <v>381</v>
      </c>
      <c r="B707" s="13">
        <f t="shared" si="20"/>
        <v>44.272738356498415</v>
      </c>
      <c r="C707" s="13">
        <f t="shared" si="20"/>
        <v>0.97029179874827287</v>
      </c>
      <c r="D707" s="13">
        <f t="shared" si="21"/>
        <v>-4.3828336468552376</v>
      </c>
    </row>
    <row r="708" spans="1:4" x14ac:dyDescent="0.25">
      <c r="A708" t="s">
        <v>381</v>
      </c>
      <c r="B708" s="13">
        <f t="shared" si="20"/>
        <v>44.272738356498415</v>
      </c>
      <c r="C708" s="13">
        <f t="shared" si="20"/>
        <v>1.4554376981224091</v>
      </c>
      <c r="D708" s="13">
        <f t="shared" si="21"/>
        <v>-4.6710126725317087</v>
      </c>
    </row>
    <row r="709" spans="1:4" x14ac:dyDescent="0.25">
      <c r="A709" t="s">
        <v>381</v>
      </c>
      <c r="B709" s="13">
        <f t="shared" si="20"/>
        <v>44.272738356498415</v>
      </c>
      <c r="C709" s="13">
        <f t="shared" si="20"/>
        <v>1.9405835974965457</v>
      </c>
      <c r="D709" s="13">
        <f t="shared" si="21"/>
        <v>-4.9076448438686526</v>
      </c>
    </row>
    <row r="710" spans="1:4" x14ac:dyDescent="0.25">
      <c r="A710" t="s">
        <v>381</v>
      </c>
      <c r="B710" s="13">
        <f t="shared" si="20"/>
        <v>44.272738356498415</v>
      </c>
      <c r="C710" s="13">
        <f t="shared" si="20"/>
        <v>2.425729496870682</v>
      </c>
      <c r="D710" s="13">
        <f t="shared" si="21"/>
        <v>-5.1226448594909533</v>
      </c>
    </row>
    <row r="711" spans="1:4" x14ac:dyDescent="0.25">
      <c r="A711" t="s">
        <v>381</v>
      </c>
      <c r="B711" s="13">
        <f t="shared" si="20"/>
        <v>44.272738356498415</v>
      </c>
      <c r="C711" s="13">
        <f t="shared" si="20"/>
        <v>2.9108753962448182</v>
      </c>
      <c r="D711" s="13">
        <f t="shared" si="21"/>
        <v>-5.3265318356738272</v>
      </c>
    </row>
    <row r="712" spans="1:4" x14ac:dyDescent="0.25">
      <c r="A712" t="s">
        <v>381</v>
      </c>
      <c r="B712" s="13">
        <f t="shared" si="20"/>
        <v>44.272738356498415</v>
      </c>
      <c r="C712" s="13">
        <f t="shared" si="20"/>
        <v>3.3960212956189544</v>
      </c>
      <c r="D712" s="13">
        <f t="shared" si="21"/>
        <v>-5.5239559792605188</v>
      </c>
    </row>
    <row r="713" spans="1:4" x14ac:dyDescent="0.25">
      <c r="A713" t="s">
        <v>381</v>
      </c>
      <c r="B713" s="13">
        <f t="shared" ref="B713:C728" si="22">B274</f>
        <v>44.272738356498415</v>
      </c>
      <c r="C713" s="13">
        <f t="shared" si="22"/>
        <v>3.8811671949930915</v>
      </c>
      <c r="D713" s="13">
        <f t="shared" si="21"/>
        <v>-5.7172906023515528</v>
      </c>
    </row>
    <row r="714" spans="1:4" x14ac:dyDescent="0.25">
      <c r="A714" t="s">
        <v>381</v>
      </c>
      <c r="B714" s="13">
        <f t="shared" si="22"/>
        <v>44.272738356498415</v>
      </c>
      <c r="C714" s="13">
        <f t="shared" si="22"/>
        <v>4.3663130943672277</v>
      </c>
      <c r="D714" s="13">
        <f t="shared" si="21"/>
        <v>-5.9078736968502445</v>
      </c>
    </row>
    <row r="715" spans="1:4" x14ac:dyDescent="0.25">
      <c r="A715" t="s">
        <v>381</v>
      </c>
      <c r="B715" s="13">
        <f t="shared" si="22"/>
        <v>44.272738356498415</v>
      </c>
      <c r="C715" s="13">
        <f t="shared" si="22"/>
        <v>4.8514589937413639</v>
      </c>
      <c r="D715" s="13">
        <f t="shared" si="21"/>
        <v>-6.0965169722775912</v>
      </c>
    </row>
    <row r="716" spans="1:4" x14ac:dyDescent="0.25">
      <c r="A716" t="s">
        <v>381</v>
      </c>
      <c r="B716" s="13">
        <f t="shared" si="22"/>
        <v>44.272738356498415</v>
      </c>
      <c r="C716" s="13">
        <f t="shared" si="22"/>
        <v>5.9036065540950489</v>
      </c>
      <c r="D716" s="13">
        <f t="shared" si="21"/>
        <v>-6.4331605303982027</v>
      </c>
    </row>
    <row r="717" spans="1:4" x14ac:dyDescent="0.25">
      <c r="A717" t="s">
        <v>381</v>
      </c>
      <c r="B717" s="13">
        <f t="shared" si="22"/>
        <v>44.272738356498415</v>
      </c>
      <c r="C717" s="13">
        <f t="shared" si="22"/>
        <v>6.9557541144487338</v>
      </c>
      <c r="D717" s="13">
        <f t="shared" si="21"/>
        <v>-6.6282403633611731</v>
      </c>
    </row>
    <row r="718" spans="1:4" x14ac:dyDescent="0.25">
      <c r="A718" t="s">
        <v>381</v>
      </c>
      <c r="B718" s="13">
        <f t="shared" si="22"/>
        <v>44.272738356498415</v>
      </c>
      <c r="C718" s="13">
        <f t="shared" si="22"/>
        <v>8.0079016748024188</v>
      </c>
      <c r="D718" s="13">
        <f t="shared" si="21"/>
        <v>-6.6817564711665014</v>
      </c>
    </row>
    <row r="719" spans="1:4" x14ac:dyDescent="0.25">
      <c r="A719" t="s">
        <v>381</v>
      </c>
      <c r="B719" s="13">
        <f t="shared" si="22"/>
        <v>44.272738356498415</v>
      </c>
      <c r="C719" s="13">
        <f t="shared" si="22"/>
        <v>9.0600492351561037</v>
      </c>
      <c r="D719" s="13">
        <f t="shared" si="21"/>
        <v>-6.5937088538141868</v>
      </c>
    </row>
    <row r="720" spans="1:4" x14ac:dyDescent="0.25">
      <c r="A720" t="s">
        <v>381</v>
      </c>
      <c r="B720" s="13">
        <f t="shared" si="22"/>
        <v>37.948061448427211</v>
      </c>
      <c r="C720" s="13">
        <f t="shared" si="22"/>
        <v>0</v>
      </c>
      <c r="D720" s="13">
        <f t="shared" si="21"/>
        <v>0</v>
      </c>
    </row>
    <row r="721" spans="1:4" x14ac:dyDescent="0.25">
      <c r="A721" t="s">
        <v>381</v>
      </c>
      <c r="B721" s="13">
        <f t="shared" si="22"/>
        <v>37.948061448427211</v>
      </c>
      <c r="C721" s="13">
        <f t="shared" si="22"/>
        <v>4.8514589937413644E-2</v>
      </c>
      <c r="D721" s="13">
        <f t="shared" si="21"/>
        <v>-1.8094162004452263</v>
      </c>
    </row>
    <row r="722" spans="1:4" x14ac:dyDescent="0.25">
      <c r="A722" t="s">
        <v>381</v>
      </c>
      <c r="B722" s="13">
        <f t="shared" si="22"/>
        <v>37.948061448427211</v>
      </c>
      <c r="C722" s="13">
        <f t="shared" si="22"/>
        <v>0.1455437698122409</v>
      </c>
      <c r="D722" s="13">
        <f t="shared" si="21"/>
        <v>-2.7097958714154724</v>
      </c>
    </row>
    <row r="723" spans="1:4" x14ac:dyDescent="0.25">
      <c r="A723" t="s">
        <v>381</v>
      </c>
      <c r="B723" s="13">
        <f t="shared" si="22"/>
        <v>37.948061448427211</v>
      </c>
      <c r="C723" s="13">
        <f t="shared" si="22"/>
        <v>0.24257294968706822</v>
      </c>
      <c r="D723" s="13">
        <f t="shared" si="21"/>
        <v>-3.0326389503162288</v>
      </c>
    </row>
    <row r="724" spans="1:4" x14ac:dyDescent="0.25">
      <c r="A724" t="s">
        <v>381</v>
      </c>
      <c r="B724" s="13">
        <f t="shared" si="22"/>
        <v>37.948061448427211</v>
      </c>
      <c r="C724" s="13">
        <f t="shared" si="22"/>
        <v>0.3396021295618955</v>
      </c>
      <c r="D724" s="13">
        <f t="shared" si="21"/>
        <v>-3.2139486543290143</v>
      </c>
    </row>
    <row r="725" spans="1:4" x14ac:dyDescent="0.25">
      <c r="A725" t="s">
        <v>381</v>
      </c>
      <c r="B725" s="13">
        <f t="shared" si="22"/>
        <v>37.948061448427211</v>
      </c>
      <c r="C725" s="13">
        <f t="shared" si="22"/>
        <v>0.48514589937413644</v>
      </c>
      <c r="D725" s="13">
        <f t="shared" si="21"/>
        <v>-3.3902200562433991</v>
      </c>
    </row>
    <row r="726" spans="1:4" x14ac:dyDescent="0.25">
      <c r="A726" t="s">
        <v>381</v>
      </c>
      <c r="B726" s="13">
        <f t="shared" si="22"/>
        <v>37.948061448427211</v>
      </c>
      <c r="C726" s="13">
        <f t="shared" si="22"/>
        <v>0.72771884906120454</v>
      </c>
      <c r="D726" s="13">
        <f t="shared" si="21"/>
        <v>-3.5888356840316447</v>
      </c>
    </row>
    <row r="727" spans="1:4" x14ac:dyDescent="0.25">
      <c r="A727" t="s">
        <v>381</v>
      </c>
      <c r="B727" s="13">
        <f t="shared" si="22"/>
        <v>37.948061448427211</v>
      </c>
      <c r="C727" s="13">
        <f t="shared" si="22"/>
        <v>0.97029179874827287</v>
      </c>
      <c r="D727" s="13">
        <f t="shared" si="21"/>
        <v>-3.742316135428148</v>
      </c>
    </row>
    <row r="728" spans="1:4" x14ac:dyDescent="0.25">
      <c r="A728" t="s">
        <v>381</v>
      </c>
      <c r="B728" s="13">
        <f t="shared" si="22"/>
        <v>37.948061448427211</v>
      </c>
      <c r="C728" s="13">
        <f t="shared" si="22"/>
        <v>1.4554376981224091</v>
      </c>
      <c r="D728" s="13">
        <f t="shared" si="21"/>
        <v>-4.0013775669795768</v>
      </c>
    </row>
    <row r="729" spans="1:4" x14ac:dyDescent="0.25">
      <c r="A729" t="s">
        <v>381</v>
      </c>
      <c r="B729" s="13">
        <f t="shared" ref="B729:C744" si="23">B290</f>
        <v>37.948061448427211</v>
      </c>
      <c r="C729" s="13">
        <f t="shared" si="23"/>
        <v>1.9405835974965457</v>
      </c>
      <c r="D729" s="13">
        <f t="shared" si="21"/>
        <v>-4.2355654425312448</v>
      </c>
    </row>
    <row r="730" spans="1:4" x14ac:dyDescent="0.25">
      <c r="A730" t="s">
        <v>381</v>
      </c>
      <c r="B730" s="13">
        <f t="shared" si="23"/>
        <v>37.948061448427211</v>
      </c>
      <c r="C730" s="13">
        <f t="shared" si="23"/>
        <v>2.425729496870682</v>
      </c>
      <c r="D730" s="13">
        <f t="shared" si="21"/>
        <v>-4.4595262875995738</v>
      </c>
    </row>
    <row r="731" spans="1:4" x14ac:dyDescent="0.25">
      <c r="A731" t="s">
        <v>381</v>
      </c>
      <c r="B731" s="13">
        <f t="shared" si="23"/>
        <v>37.948061448427211</v>
      </c>
      <c r="C731" s="13">
        <f t="shared" si="23"/>
        <v>2.9108753962448182</v>
      </c>
      <c r="D731" s="13">
        <f t="shared" si="21"/>
        <v>-4.6782941059556737</v>
      </c>
    </row>
    <row r="732" spans="1:4" x14ac:dyDescent="0.25">
      <c r="A732" t="s">
        <v>381</v>
      </c>
      <c r="B732" s="13">
        <f t="shared" si="23"/>
        <v>37.948061448427211</v>
      </c>
      <c r="C732" s="13">
        <f t="shared" si="23"/>
        <v>3.3960212956189544</v>
      </c>
      <c r="D732" s="13">
        <f t="shared" si="21"/>
        <v>-4.8940647519763267</v>
      </c>
    </row>
    <row r="733" spans="1:4" x14ac:dyDescent="0.25">
      <c r="A733" t="s">
        <v>381</v>
      </c>
      <c r="B733" s="13">
        <f t="shared" si="23"/>
        <v>37.948061448427211</v>
      </c>
      <c r="C733" s="13">
        <f t="shared" si="23"/>
        <v>3.8811671949930915</v>
      </c>
      <c r="D733" s="13">
        <f t="shared" si="21"/>
        <v>-5.1079490067987185</v>
      </c>
    </row>
    <row r="734" spans="1:4" x14ac:dyDescent="0.25">
      <c r="A734" t="s">
        <v>381</v>
      </c>
      <c r="B734" s="13">
        <f t="shared" si="23"/>
        <v>37.948061448427211</v>
      </c>
      <c r="C734" s="13">
        <f t="shared" si="23"/>
        <v>4.3663130943672277</v>
      </c>
      <c r="D734" s="13">
        <f t="shared" si="21"/>
        <v>-5.3205691153013746</v>
      </c>
    </row>
    <row r="735" spans="1:4" x14ac:dyDescent="0.25">
      <c r="A735" t="s">
        <v>381</v>
      </c>
      <c r="B735" s="13">
        <f t="shared" si="23"/>
        <v>37.948061448427211</v>
      </c>
      <c r="C735" s="13">
        <f t="shared" si="23"/>
        <v>4.8514589937413639</v>
      </c>
      <c r="D735" s="13">
        <f t="shared" si="21"/>
        <v>-5.5323007610547359</v>
      </c>
    </row>
    <row r="736" spans="1:4" x14ac:dyDescent="0.25">
      <c r="A736" t="s">
        <v>381</v>
      </c>
      <c r="B736" s="13">
        <f t="shared" si="23"/>
        <v>37.948061448427211</v>
      </c>
      <c r="C736" s="13">
        <f t="shared" si="23"/>
        <v>5.9364157075602337</v>
      </c>
      <c r="D736" s="13">
        <f t="shared" si="21"/>
        <v>-5.9326694775794735</v>
      </c>
    </row>
    <row r="737" spans="1:4" x14ac:dyDescent="0.25">
      <c r="A737" t="s">
        <v>381</v>
      </c>
      <c r="B737" s="13">
        <f t="shared" si="23"/>
        <v>37.948061448427211</v>
      </c>
      <c r="C737" s="13">
        <f t="shared" si="23"/>
        <v>7.0213724213791036</v>
      </c>
      <c r="D737" s="13">
        <f t="shared" si="21"/>
        <v>-6.188356162667656</v>
      </c>
    </row>
    <row r="738" spans="1:4" x14ac:dyDescent="0.25">
      <c r="A738" t="s">
        <v>381</v>
      </c>
      <c r="B738" s="13">
        <f t="shared" si="23"/>
        <v>37.948061448427211</v>
      </c>
      <c r="C738" s="13">
        <f t="shared" si="23"/>
        <v>8.1063291351979743</v>
      </c>
      <c r="D738" s="13">
        <f t="shared" si="21"/>
        <v>-6.2993608163192825</v>
      </c>
    </row>
    <row r="739" spans="1:4" x14ac:dyDescent="0.25">
      <c r="A739" t="s">
        <v>381</v>
      </c>
      <c r="B739" s="13">
        <f t="shared" si="23"/>
        <v>37.948061448427211</v>
      </c>
      <c r="C739" s="13">
        <f t="shared" si="23"/>
        <v>9.1912858490168432</v>
      </c>
      <c r="D739" s="13">
        <f t="shared" si="21"/>
        <v>-6.2656834385343565</v>
      </c>
    </row>
    <row r="740" spans="1:4" x14ac:dyDescent="0.25">
      <c r="A740" t="s">
        <v>381</v>
      </c>
      <c r="B740" s="13">
        <f t="shared" si="23"/>
        <v>31.623384540356014</v>
      </c>
      <c r="C740" s="13">
        <f t="shared" si="23"/>
        <v>0</v>
      </c>
      <c r="D740" s="13">
        <f t="shared" si="21"/>
        <v>0</v>
      </c>
    </row>
    <row r="741" spans="1:4" x14ac:dyDescent="0.25">
      <c r="A741" t="s">
        <v>381</v>
      </c>
      <c r="B741" s="13">
        <f t="shared" si="23"/>
        <v>31.623384540356014</v>
      </c>
      <c r="C741" s="13">
        <f t="shared" si="23"/>
        <v>4.8514589937413644E-2</v>
      </c>
      <c r="D741" s="13">
        <f t="shared" si="21"/>
        <v>-0.83878579968863121</v>
      </c>
    </row>
    <row r="742" spans="1:4" x14ac:dyDescent="0.25">
      <c r="A742" t="s">
        <v>381</v>
      </c>
      <c r="B742" s="13">
        <f t="shared" si="23"/>
        <v>31.623384540356014</v>
      </c>
      <c r="C742" s="13">
        <f t="shared" si="23"/>
        <v>0.1455437698122409</v>
      </c>
      <c r="D742" s="13">
        <f t="shared" si="21"/>
        <v>-1.6359094304008457</v>
      </c>
    </row>
    <row r="743" spans="1:4" x14ac:dyDescent="0.25">
      <c r="A743" t="s">
        <v>381</v>
      </c>
      <c r="B743" s="13">
        <f t="shared" si="23"/>
        <v>31.623384540356014</v>
      </c>
      <c r="C743" s="13">
        <f t="shared" si="23"/>
        <v>0.24257294968706822</v>
      </c>
      <c r="D743" s="13">
        <f t="shared" si="21"/>
        <v>-2.0334630532521771</v>
      </c>
    </row>
    <row r="744" spans="1:4" x14ac:dyDescent="0.25">
      <c r="A744" t="s">
        <v>381</v>
      </c>
      <c r="B744" s="13">
        <f t="shared" si="23"/>
        <v>31.623384540356014</v>
      </c>
      <c r="C744" s="13">
        <f t="shared" si="23"/>
        <v>0.3396021295618955</v>
      </c>
      <c r="D744" s="13">
        <f t="shared" si="21"/>
        <v>-2.2816992946646897</v>
      </c>
    </row>
    <row r="745" spans="1:4" x14ac:dyDescent="0.25">
      <c r="A745" t="s">
        <v>381</v>
      </c>
      <c r="B745" s="13">
        <f t="shared" ref="B745:C760" si="24">B306</f>
        <v>31.623384540356014</v>
      </c>
      <c r="C745" s="13">
        <f t="shared" si="24"/>
        <v>0.48514589937413644</v>
      </c>
      <c r="D745" s="13">
        <f t="shared" si="21"/>
        <v>-2.529869790935849</v>
      </c>
    </row>
    <row r="746" spans="1:4" x14ac:dyDescent="0.25">
      <c r="A746" t="s">
        <v>381</v>
      </c>
      <c r="B746" s="13">
        <f t="shared" si="24"/>
        <v>31.623384540356014</v>
      </c>
      <c r="C746" s="13">
        <f t="shared" si="24"/>
        <v>0.72771884906120454</v>
      </c>
      <c r="D746" s="13">
        <f t="shared" si="21"/>
        <v>-2.8007017449474758</v>
      </c>
    </row>
    <row r="747" spans="1:4" x14ac:dyDescent="0.25">
      <c r="A747" t="s">
        <v>381</v>
      </c>
      <c r="B747" s="13">
        <f t="shared" si="24"/>
        <v>31.623384540356014</v>
      </c>
      <c r="C747" s="13">
        <f t="shared" si="24"/>
        <v>0.97029179874827287</v>
      </c>
      <c r="D747" s="13">
        <f t="shared" si="21"/>
        <v>-2.9958093060451789</v>
      </c>
    </row>
    <row r="748" spans="1:4" x14ac:dyDescent="0.25">
      <c r="A748" t="s">
        <v>381</v>
      </c>
      <c r="B748" s="13">
        <f t="shared" si="24"/>
        <v>31.623384540356014</v>
      </c>
      <c r="C748" s="13">
        <f t="shared" si="24"/>
        <v>1.4554376981224091</v>
      </c>
      <c r="D748" s="13">
        <f t="shared" si="21"/>
        <v>-3.2983068553410346</v>
      </c>
    </row>
    <row r="749" spans="1:4" x14ac:dyDescent="0.25">
      <c r="A749" t="s">
        <v>381</v>
      </c>
      <c r="B749" s="13">
        <f t="shared" si="24"/>
        <v>31.623384540356014</v>
      </c>
      <c r="C749" s="13">
        <f t="shared" si="24"/>
        <v>1.9405835974965457</v>
      </c>
      <c r="D749" s="13">
        <f t="shared" si="21"/>
        <v>-3.5525164789089536</v>
      </c>
    </row>
    <row r="750" spans="1:4" x14ac:dyDescent="0.25">
      <c r="A750" t="s">
        <v>381</v>
      </c>
      <c r="B750" s="13">
        <f t="shared" si="24"/>
        <v>31.623384540356014</v>
      </c>
      <c r="C750" s="13">
        <f t="shared" si="24"/>
        <v>2.425729496870682</v>
      </c>
      <c r="D750" s="13">
        <f t="shared" si="21"/>
        <v>-3.7859892947478739</v>
      </c>
    </row>
    <row r="751" spans="1:4" x14ac:dyDescent="0.25">
      <c r="A751" t="s">
        <v>381</v>
      </c>
      <c r="B751" s="13">
        <f t="shared" si="24"/>
        <v>31.623384540356014</v>
      </c>
      <c r="C751" s="13">
        <f t="shared" si="24"/>
        <v>2.9108753962448182</v>
      </c>
      <c r="D751" s="13">
        <f t="shared" si="21"/>
        <v>-4.0086662462326235</v>
      </c>
    </row>
    <row r="752" spans="1:4" x14ac:dyDescent="0.25">
      <c r="A752" t="s">
        <v>381</v>
      </c>
      <c r="B752" s="13">
        <f t="shared" si="24"/>
        <v>31.623384540356014</v>
      </c>
      <c r="C752" s="13">
        <f t="shared" si="24"/>
        <v>3.3960212956189544</v>
      </c>
      <c r="D752" s="13">
        <f t="shared" si="21"/>
        <v>-4.2250096636560812</v>
      </c>
    </row>
    <row r="753" spans="1:4" x14ac:dyDescent="0.25">
      <c r="A753" t="s">
        <v>381</v>
      </c>
      <c r="B753" s="13">
        <f t="shared" si="24"/>
        <v>31.623384540356014</v>
      </c>
      <c r="C753" s="13">
        <f t="shared" si="24"/>
        <v>3.8811671949930915</v>
      </c>
      <c r="D753" s="13">
        <f t="shared" si="21"/>
        <v>-4.4373204191772029</v>
      </c>
    </row>
    <row r="754" spans="1:4" x14ac:dyDescent="0.25">
      <c r="A754" t="s">
        <v>381</v>
      </c>
      <c r="B754" s="13">
        <f t="shared" si="24"/>
        <v>31.623384540356014</v>
      </c>
      <c r="C754" s="13">
        <f t="shared" si="24"/>
        <v>4.3663130943672277</v>
      </c>
      <c r="D754" s="13">
        <f t="shared" si="21"/>
        <v>-4.6469052729781559</v>
      </c>
    </row>
    <row r="755" spans="1:4" x14ac:dyDescent="0.25">
      <c r="A755" t="s">
        <v>381</v>
      </c>
      <c r="B755" s="13">
        <f t="shared" si="24"/>
        <v>31.623384540356014</v>
      </c>
      <c r="C755" s="13">
        <f t="shared" si="24"/>
        <v>4.8514589937413639</v>
      </c>
      <c r="D755" s="13">
        <f t="shared" si="21"/>
        <v>-4.8545614277492115</v>
      </c>
    </row>
    <row r="756" spans="1:4" x14ac:dyDescent="0.25">
      <c r="A756" t="s">
        <v>381</v>
      </c>
      <c r="B756" s="13">
        <f t="shared" si="24"/>
        <v>31.623384540356014</v>
      </c>
      <c r="C756" s="13">
        <f t="shared" si="24"/>
        <v>5.9826194095239069</v>
      </c>
      <c r="D756" s="13">
        <f t="shared" si="21"/>
        <v>-5.2775514468538027</v>
      </c>
    </row>
    <row r="757" spans="1:4" x14ac:dyDescent="0.25">
      <c r="A757" t="s">
        <v>381</v>
      </c>
      <c r="B757" s="13">
        <f t="shared" si="24"/>
        <v>31.623384540356014</v>
      </c>
      <c r="C757" s="13">
        <f t="shared" si="24"/>
        <v>7.1137798253064499</v>
      </c>
      <c r="D757" s="13">
        <f t="shared" si="21"/>
        <v>-5.5818044228133017</v>
      </c>
    </row>
    <row r="758" spans="1:4" x14ac:dyDescent="0.25">
      <c r="A758" t="s">
        <v>381</v>
      </c>
      <c r="B758" s="13">
        <f t="shared" si="24"/>
        <v>31.623384540356014</v>
      </c>
      <c r="C758" s="13">
        <f t="shared" si="24"/>
        <v>8.2449402410889938</v>
      </c>
      <c r="D758" s="13">
        <f t="shared" si="21"/>
        <v>-5.7673203556277057</v>
      </c>
    </row>
    <row r="759" spans="1:4" x14ac:dyDescent="0.25">
      <c r="A759" t="s">
        <v>381</v>
      </c>
      <c r="B759" s="13">
        <f t="shared" si="24"/>
        <v>31.623384540356014</v>
      </c>
      <c r="C759" s="13">
        <f t="shared" si="24"/>
        <v>9.3761006568715359</v>
      </c>
      <c r="D759" s="13">
        <f t="shared" si="21"/>
        <v>-5.8340992452970175</v>
      </c>
    </row>
    <row r="760" spans="1:4" x14ac:dyDescent="0.25">
      <c r="A760" t="s">
        <v>381</v>
      </c>
      <c r="B760" s="13">
        <f t="shared" si="24"/>
        <v>25.29870763228481</v>
      </c>
      <c r="C760" s="13">
        <f t="shared" si="24"/>
        <v>0</v>
      </c>
      <c r="D760" s="13">
        <f t="shared" si="21"/>
        <v>0</v>
      </c>
    </row>
    <row r="761" spans="1:4" x14ac:dyDescent="0.25">
      <c r="A761" t="s">
        <v>381</v>
      </c>
      <c r="B761" s="13">
        <f t="shared" ref="B761:C776" si="25">B322</f>
        <v>25.29870763228481</v>
      </c>
      <c r="C761" s="13">
        <f t="shared" si="25"/>
        <v>4.8514589937413644E-2</v>
      </c>
      <c r="D761" s="13">
        <f t="shared" ref="D761:D824" si="26">-D322</f>
        <v>-7.6299081939536662E-2</v>
      </c>
    </row>
    <row r="762" spans="1:4" x14ac:dyDescent="0.25">
      <c r="A762" t="s">
        <v>381</v>
      </c>
      <c r="B762" s="13">
        <f t="shared" si="25"/>
        <v>25.29870763228481</v>
      </c>
      <c r="C762" s="13">
        <f t="shared" si="25"/>
        <v>0.1455437698122409</v>
      </c>
      <c r="D762" s="13">
        <f t="shared" si="26"/>
        <v>-0.23166256354463399</v>
      </c>
    </row>
    <row r="763" spans="1:4" x14ac:dyDescent="0.25">
      <c r="A763" t="s">
        <v>381</v>
      </c>
      <c r="B763" s="13">
        <f t="shared" si="25"/>
        <v>25.29870763228481</v>
      </c>
      <c r="C763" s="13">
        <f t="shared" si="25"/>
        <v>0.24257294968706822</v>
      </c>
      <c r="D763" s="13">
        <f t="shared" si="26"/>
        <v>-0.38999319991863673</v>
      </c>
    </row>
    <row r="764" spans="1:4" x14ac:dyDescent="0.25">
      <c r="A764" t="s">
        <v>381</v>
      </c>
      <c r="B764" s="13">
        <f t="shared" si="25"/>
        <v>25.29870763228481</v>
      </c>
      <c r="C764" s="13">
        <f t="shared" si="25"/>
        <v>0.3396021295618955</v>
      </c>
      <c r="D764" s="13">
        <f t="shared" si="26"/>
        <v>-0.5504608204665512</v>
      </c>
    </row>
    <row r="765" spans="1:4" x14ac:dyDescent="0.25">
      <c r="A765" t="s">
        <v>381</v>
      </c>
      <c r="B765" s="13">
        <f t="shared" si="25"/>
        <v>25.29870763228481</v>
      </c>
      <c r="C765" s="13">
        <f t="shared" si="25"/>
        <v>0.48514589937413644</v>
      </c>
      <c r="D765" s="13">
        <f t="shared" si="26"/>
        <v>-0.79344802606158926</v>
      </c>
    </row>
    <row r="766" spans="1:4" x14ac:dyDescent="0.25">
      <c r="A766" t="s">
        <v>381</v>
      </c>
      <c r="B766" s="13">
        <f t="shared" si="25"/>
        <v>25.29870763228481</v>
      </c>
      <c r="C766" s="13">
        <f t="shared" si="25"/>
        <v>0.72771884906120454</v>
      </c>
      <c r="D766" s="13">
        <f t="shared" si="26"/>
        <v>-1.1984478142557631</v>
      </c>
    </row>
    <row r="767" spans="1:4" x14ac:dyDescent="0.25">
      <c r="A767" t="s">
        <v>381</v>
      </c>
      <c r="B767" s="13">
        <f t="shared" si="25"/>
        <v>25.29870763228481</v>
      </c>
      <c r="C767" s="13">
        <f t="shared" si="25"/>
        <v>0.97029179874827287</v>
      </c>
      <c r="D767" s="13">
        <f t="shared" si="26"/>
        <v>-1.5945826880047596</v>
      </c>
    </row>
    <row r="768" spans="1:4" x14ac:dyDescent="0.25">
      <c r="A768" t="s">
        <v>381</v>
      </c>
      <c r="B768" s="13">
        <f t="shared" si="25"/>
        <v>25.29870763228481</v>
      </c>
      <c r="C768" s="13">
        <f t="shared" si="25"/>
        <v>1.4554376981224091</v>
      </c>
      <c r="D768" s="13">
        <f t="shared" si="26"/>
        <v>-2.3261521245650885</v>
      </c>
    </row>
    <row r="769" spans="1:4" x14ac:dyDescent="0.25">
      <c r="A769" t="s">
        <v>381</v>
      </c>
      <c r="B769" s="13">
        <f t="shared" si="25"/>
        <v>25.29870763228481</v>
      </c>
      <c r="C769" s="13">
        <f t="shared" si="25"/>
        <v>1.9405835974965457</v>
      </c>
      <c r="D769" s="13">
        <f t="shared" si="26"/>
        <v>-2.9350130773052623</v>
      </c>
    </row>
    <row r="770" spans="1:4" x14ac:dyDescent="0.25">
      <c r="A770" t="s">
        <v>381</v>
      </c>
      <c r="B770" s="13">
        <f t="shared" si="25"/>
        <v>25.29870763228481</v>
      </c>
      <c r="C770" s="13">
        <f t="shared" si="25"/>
        <v>2.425729496870682</v>
      </c>
      <c r="D770" s="13">
        <f t="shared" si="26"/>
        <v>-3.3921308906150656</v>
      </c>
    </row>
    <row r="771" spans="1:4" x14ac:dyDescent="0.25">
      <c r="A771" t="s">
        <v>381</v>
      </c>
      <c r="B771" s="13">
        <f t="shared" si="25"/>
        <v>25.29870763228481</v>
      </c>
      <c r="C771" s="13">
        <f t="shared" si="25"/>
        <v>2.9108753962448182</v>
      </c>
      <c r="D771" s="13">
        <f t="shared" si="26"/>
        <v>-3.6925795117113962</v>
      </c>
    </row>
    <row r="772" spans="1:4" x14ac:dyDescent="0.25">
      <c r="A772" t="s">
        <v>381</v>
      </c>
      <c r="B772" s="13">
        <f t="shared" si="25"/>
        <v>25.29870763228481</v>
      </c>
      <c r="C772" s="13">
        <f t="shared" si="25"/>
        <v>3.3960212956189544</v>
      </c>
      <c r="D772" s="13">
        <f t="shared" si="26"/>
        <v>-3.855541490638255</v>
      </c>
    </row>
    <row r="773" spans="1:4" x14ac:dyDescent="0.25">
      <c r="A773" t="s">
        <v>381</v>
      </c>
      <c r="B773" s="13">
        <f t="shared" si="25"/>
        <v>25.29870763228481</v>
      </c>
      <c r="C773" s="13">
        <f t="shared" si="25"/>
        <v>3.8811671949930915</v>
      </c>
      <c r="D773" s="13">
        <f t="shared" si="26"/>
        <v>-3.9243079802667524</v>
      </c>
    </row>
    <row r="774" spans="1:4" x14ac:dyDescent="0.25">
      <c r="A774" t="s">
        <v>381</v>
      </c>
      <c r="B774" s="13">
        <f t="shared" si="25"/>
        <v>25.29870763228481</v>
      </c>
      <c r="C774" s="13">
        <f t="shared" si="25"/>
        <v>4.3663130943672277</v>
      </c>
      <c r="D774" s="13">
        <f t="shared" si="26"/>
        <v>-3.966278736295076</v>
      </c>
    </row>
    <row r="775" spans="1:4" x14ac:dyDescent="0.25">
      <c r="A775" t="s">
        <v>381</v>
      </c>
      <c r="B775" s="13">
        <f t="shared" si="25"/>
        <v>25.29870763228481</v>
      </c>
      <c r="C775" s="13">
        <f t="shared" si="25"/>
        <v>4.8514589937413639</v>
      </c>
      <c r="D775" s="13">
        <f t="shared" si="26"/>
        <v>-4.0729621172485997</v>
      </c>
    </row>
    <row r="776" spans="1:4" x14ac:dyDescent="0.25">
      <c r="A776" t="s">
        <v>381</v>
      </c>
      <c r="B776" s="13">
        <f t="shared" si="25"/>
        <v>25.29870763228481</v>
      </c>
      <c r="C776" s="13">
        <f t="shared" si="25"/>
        <v>6.0424339968151557</v>
      </c>
      <c r="D776" s="13">
        <f t="shared" si="26"/>
        <v>-4.4714767675480669</v>
      </c>
    </row>
    <row r="777" spans="1:4" x14ac:dyDescent="0.25">
      <c r="A777" t="s">
        <v>381</v>
      </c>
      <c r="B777" s="13">
        <f t="shared" ref="B777:C792" si="27">B338</f>
        <v>25.29870763228481</v>
      </c>
      <c r="C777" s="13">
        <f t="shared" si="27"/>
        <v>7.2334089998889466</v>
      </c>
      <c r="D777" s="13">
        <f t="shared" si="26"/>
        <v>-4.8050159431673585</v>
      </c>
    </row>
    <row r="778" spans="1:4" x14ac:dyDescent="0.25">
      <c r="A778" t="s">
        <v>381</v>
      </c>
      <c r="B778" s="13">
        <f t="shared" si="27"/>
        <v>25.29870763228481</v>
      </c>
      <c r="C778" s="13">
        <f t="shared" si="27"/>
        <v>8.4243840029627375</v>
      </c>
      <c r="D778" s="13">
        <f t="shared" si="26"/>
        <v>-5.0735796441064753</v>
      </c>
    </row>
    <row r="779" spans="1:4" x14ac:dyDescent="0.25">
      <c r="A779" t="s">
        <v>381</v>
      </c>
      <c r="B779" s="13">
        <f t="shared" si="27"/>
        <v>25.29870763228481</v>
      </c>
      <c r="C779" s="13">
        <f t="shared" si="27"/>
        <v>9.6153590060365293</v>
      </c>
      <c r="D779" s="13">
        <f t="shared" si="26"/>
        <v>-5.2771678703654139</v>
      </c>
    </row>
    <row r="780" spans="1:4" x14ac:dyDescent="0.25">
      <c r="A780" t="s">
        <v>381</v>
      </c>
      <c r="B780" s="13">
        <f t="shared" si="27"/>
        <v>18.974030724213605</v>
      </c>
      <c r="C780" s="13">
        <f t="shared" si="27"/>
        <v>0</v>
      </c>
      <c r="D780" s="13">
        <f t="shared" si="26"/>
        <v>0</v>
      </c>
    </row>
    <row r="781" spans="1:4" x14ac:dyDescent="0.25">
      <c r="A781" t="s">
        <v>381</v>
      </c>
      <c r="B781" s="13">
        <f t="shared" si="27"/>
        <v>18.974030724213605</v>
      </c>
      <c r="C781" s="13">
        <f t="shared" si="27"/>
        <v>4.8514589937413644E-2</v>
      </c>
      <c r="D781" s="13">
        <f t="shared" si="26"/>
        <v>-1.2059971625739336E-2</v>
      </c>
    </row>
    <row r="782" spans="1:4" x14ac:dyDescent="0.25">
      <c r="A782" t="s">
        <v>381</v>
      </c>
      <c r="B782" s="13">
        <f t="shared" si="27"/>
        <v>18.974030724213605</v>
      </c>
      <c r="C782" s="13">
        <f t="shared" si="27"/>
        <v>0.1455437698122409</v>
      </c>
      <c r="D782" s="13">
        <f t="shared" si="26"/>
        <v>-4.7140988725535356E-2</v>
      </c>
    </row>
    <row r="783" spans="1:4" x14ac:dyDescent="0.25">
      <c r="A783" t="s">
        <v>381</v>
      </c>
      <c r="B783" s="13">
        <f t="shared" si="27"/>
        <v>18.974030724213605</v>
      </c>
      <c r="C783" s="13">
        <f t="shared" si="27"/>
        <v>0.24257294968706822</v>
      </c>
      <c r="D783" s="13">
        <f t="shared" si="26"/>
        <v>-9.5666280181521957E-2</v>
      </c>
    </row>
    <row r="784" spans="1:4" x14ac:dyDescent="0.25">
      <c r="A784" t="s">
        <v>381</v>
      </c>
      <c r="B784" s="13">
        <f t="shared" si="27"/>
        <v>18.974030724213605</v>
      </c>
      <c r="C784" s="13">
        <f t="shared" si="27"/>
        <v>0.3396021295618955</v>
      </c>
      <c r="D784" s="13">
        <f t="shared" si="26"/>
        <v>-0.15627547164736225</v>
      </c>
    </row>
    <row r="785" spans="1:4" x14ac:dyDescent="0.25">
      <c r="A785" t="s">
        <v>381</v>
      </c>
      <c r="B785" s="13">
        <f t="shared" si="27"/>
        <v>18.974030724213605</v>
      </c>
      <c r="C785" s="13">
        <f t="shared" si="27"/>
        <v>0.48514589937413644</v>
      </c>
      <c r="D785" s="13">
        <f t="shared" si="26"/>
        <v>-0.26699510599819826</v>
      </c>
    </row>
    <row r="786" spans="1:4" x14ac:dyDescent="0.25">
      <c r="A786" t="s">
        <v>381</v>
      </c>
      <c r="B786" s="13">
        <f t="shared" si="27"/>
        <v>18.974030724213605</v>
      </c>
      <c r="C786" s="13">
        <f t="shared" si="27"/>
        <v>0.72771884906120454</v>
      </c>
      <c r="D786" s="13">
        <f t="shared" si="26"/>
        <v>-0.49411233402420351</v>
      </c>
    </row>
    <row r="787" spans="1:4" x14ac:dyDescent="0.25">
      <c r="A787" t="s">
        <v>381</v>
      </c>
      <c r="B787" s="13">
        <f t="shared" si="27"/>
        <v>18.974030724213605</v>
      </c>
      <c r="C787" s="13">
        <f t="shared" si="27"/>
        <v>0.97029179874827287</v>
      </c>
      <c r="D787" s="13">
        <f t="shared" si="26"/>
        <v>-0.75911768617041364</v>
      </c>
    </row>
    <row r="788" spans="1:4" x14ac:dyDescent="0.25">
      <c r="A788" t="s">
        <v>381</v>
      </c>
      <c r="B788" s="13">
        <f t="shared" si="27"/>
        <v>18.974030724213605</v>
      </c>
      <c r="C788" s="13">
        <f t="shared" si="27"/>
        <v>1.4554376981224091</v>
      </c>
      <c r="D788" s="13">
        <f t="shared" si="26"/>
        <v>-1.341060977150446</v>
      </c>
    </row>
    <row r="789" spans="1:4" x14ac:dyDescent="0.25">
      <c r="A789" t="s">
        <v>381</v>
      </c>
      <c r="B789" s="13">
        <f t="shared" si="27"/>
        <v>18.974030724213605</v>
      </c>
      <c r="C789" s="13">
        <f t="shared" si="27"/>
        <v>1.9405835974965457</v>
      </c>
      <c r="D789" s="13">
        <f t="shared" si="26"/>
        <v>-1.9091000609592967</v>
      </c>
    </row>
    <row r="790" spans="1:4" x14ac:dyDescent="0.25">
      <c r="A790" t="s">
        <v>381</v>
      </c>
      <c r="B790" s="13">
        <f>B351</f>
        <v>18.974030724213605</v>
      </c>
      <c r="C790" s="13">
        <f t="shared" si="27"/>
        <v>2.425729496870682</v>
      </c>
      <c r="D790" s="13">
        <f t="shared" si="26"/>
        <v>-2.3910918650051638</v>
      </c>
    </row>
    <row r="791" spans="1:4" x14ac:dyDescent="0.25">
      <c r="A791" t="s">
        <v>381</v>
      </c>
      <c r="B791" s="13">
        <f t="shared" ref="B791:C806" si="28">B352</f>
        <v>18.974030724213605</v>
      </c>
      <c r="C791" s="13">
        <f t="shared" si="27"/>
        <v>2.9108753962448182</v>
      </c>
      <c r="D791" s="13">
        <f t="shared" si="26"/>
        <v>-2.7464751620834469</v>
      </c>
    </row>
    <row r="792" spans="1:4" x14ac:dyDescent="0.25">
      <c r="A792" t="s">
        <v>381</v>
      </c>
      <c r="B792" s="13">
        <f t="shared" si="28"/>
        <v>18.974030724213605</v>
      </c>
      <c r="C792" s="13">
        <f t="shared" si="27"/>
        <v>3.3960212956189544</v>
      </c>
      <c r="D792" s="13">
        <f t="shared" si="26"/>
        <v>-2.9662705703767487</v>
      </c>
    </row>
    <row r="793" spans="1:4" x14ac:dyDescent="0.25">
      <c r="A793" t="s">
        <v>381</v>
      </c>
      <c r="B793" s="13">
        <f t="shared" si="28"/>
        <v>18.974030724213605</v>
      </c>
      <c r="C793" s="13">
        <f t="shared" si="28"/>
        <v>3.8811671949930915</v>
      </c>
      <c r="D793" s="13">
        <f t="shared" si="26"/>
        <v>-3.0730805534548709</v>
      </c>
    </row>
    <row r="794" spans="1:4" x14ac:dyDescent="0.25">
      <c r="A794" t="s">
        <v>381</v>
      </c>
      <c r="B794" s="13">
        <f t="shared" si="28"/>
        <v>18.974030724213605</v>
      </c>
      <c r="C794" s="13">
        <f t="shared" si="28"/>
        <v>4.3663130943672277</v>
      </c>
      <c r="D794" s="13">
        <f t="shared" si="26"/>
        <v>-3.1210894202747914</v>
      </c>
    </row>
    <row r="795" spans="1:4" x14ac:dyDescent="0.25">
      <c r="A795" t="s">
        <v>381</v>
      </c>
      <c r="B795" s="13">
        <f t="shared" si="28"/>
        <v>18.974030724213605</v>
      </c>
      <c r="C795" s="13">
        <f t="shared" si="28"/>
        <v>4.8514589937413639</v>
      </c>
      <c r="D795" s="13">
        <f t="shared" si="26"/>
        <v>-3.19606332518075</v>
      </c>
    </row>
    <row r="796" spans="1:4" x14ac:dyDescent="0.25">
      <c r="A796" t="s">
        <v>381</v>
      </c>
      <c r="B796" s="13">
        <f t="shared" si="28"/>
        <v>18.974030724213605</v>
      </c>
      <c r="C796" s="13">
        <f t="shared" si="28"/>
        <v>6.1157594930830559</v>
      </c>
      <c r="D796" s="13">
        <f t="shared" si="26"/>
        <v>-3.5261888520839832</v>
      </c>
    </row>
    <row r="797" spans="1:4" x14ac:dyDescent="0.25">
      <c r="A797" t="s">
        <v>381</v>
      </c>
      <c r="B797" s="13">
        <f t="shared" si="28"/>
        <v>18.974030724213605</v>
      </c>
      <c r="C797" s="13">
        <f t="shared" si="28"/>
        <v>7.3800599924247479</v>
      </c>
      <c r="D797" s="13">
        <f t="shared" si="26"/>
        <v>-3.8653697100895879</v>
      </c>
    </row>
    <row r="798" spans="1:4" x14ac:dyDescent="0.25">
      <c r="A798" t="s">
        <v>381</v>
      </c>
      <c r="B798" s="13">
        <f t="shared" si="28"/>
        <v>18.974030724213605</v>
      </c>
      <c r="C798" s="13">
        <f t="shared" si="28"/>
        <v>8.6443604917664398</v>
      </c>
      <c r="D798" s="13">
        <f t="shared" si="26"/>
        <v>-4.2136058991975638</v>
      </c>
    </row>
    <row r="799" spans="1:4" x14ac:dyDescent="0.25">
      <c r="A799" t="s">
        <v>381</v>
      </c>
      <c r="B799" s="13">
        <f t="shared" si="28"/>
        <v>18.974030724213605</v>
      </c>
      <c r="C799" s="13">
        <f t="shared" si="28"/>
        <v>9.9086609911081318</v>
      </c>
      <c r="D799" s="13">
        <f t="shared" si="26"/>
        <v>-4.5708974194079124</v>
      </c>
    </row>
    <row r="800" spans="1:4" x14ac:dyDescent="0.25">
      <c r="A800" t="s">
        <v>381</v>
      </c>
      <c r="B800" s="13">
        <f t="shared" si="28"/>
        <v>12.649353816142405</v>
      </c>
      <c r="C800" s="13">
        <f t="shared" si="28"/>
        <v>0</v>
      </c>
      <c r="D800" s="13">
        <f t="shared" si="26"/>
        <v>0</v>
      </c>
    </row>
    <row r="801" spans="1:4" x14ac:dyDescent="0.25">
      <c r="A801" t="s">
        <v>381</v>
      </c>
      <c r="B801" s="13">
        <f t="shared" si="28"/>
        <v>12.649353816142405</v>
      </c>
      <c r="C801" s="13">
        <f t="shared" si="28"/>
        <v>4.8514589937413644E-2</v>
      </c>
      <c r="D801" s="13">
        <f t="shared" si="26"/>
        <v>-1.0380734603302451E-3</v>
      </c>
    </row>
    <row r="802" spans="1:4" x14ac:dyDescent="0.25">
      <c r="A802" t="s">
        <v>381</v>
      </c>
      <c r="B802" s="13">
        <f t="shared" si="28"/>
        <v>12.649353816142405</v>
      </c>
      <c r="C802" s="13">
        <f t="shared" si="28"/>
        <v>0.1455437698122409</v>
      </c>
      <c r="D802" s="13">
        <f t="shared" si="26"/>
        <v>-9.1182819464083516E-3</v>
      </c>
    </row>
    <row r="803" spans="1:4" x14ac:dyDescent="0.25">
      <c r="A803" t="s">
        <v>381</v>
      </c>
      <c r="B803" s="13">
        <f t="shared" si="28"/>
        <v>12.649353816142405</v>
      </c>
      <c r="C803" s="13">
        <f t="shared" si="28"/>
        <v>0.24257294968706822</v>
      </c>
      <c r="D803" s="13">
        <f t="shared" si="26"/>
        <v>-2.4708296996867874E-2</v>
      </c>
    </row>
    <row r="804" spans="1:4" x14ac:dyDescent="0.25">
      <c r="A804" t="s">
        <v>381</v>
      </c>
      <c r="B804" s="13">
        <f t="shared" si="28"/>
        <v>12.649353816142405</v>
      </c>
      <c r="C804" s="13">
        <f t="shared" si="28"/>
        <v>0.3396021295618955</v>
      </c>
      <c r="D804" s="13">
        <f t="shared" si="26"/>
        <v>-4.722854869524927E-2</v>
      </c>
    </row>
    <row r="805" spans="1:4" x14ac:dyDescent="0.25">
      <c r="A805" t="s">
        <v>381</v>
      </c>
      <c r="B805" s="13">
        <f t="shared" si="28"/>
        <v>12.649353816142405</v>
      </c>
      <c r="C805" s="13">
        <f t="shared" si="28"/>
        <v>0.48514589937413644</v>
      </c>
      <c r="D805" s="13">
        <f t="shared" si="26"/>
        <v>-9.2777950264968503E-2</v>
      </c>
    </row>
    <row r="806" spans="1:4" x14ac:dyDescent="0.25">
      <c r="A806" t="s">
        <v>381</v>
      </c>
      <c r="B806" s="13">
        <f t="shared" si="28"/>
        <v>12.649353816142405</v>
      </c>
      <c r="C806" s="13">
        <f t="shared" si="28"/>
        <v>0.72771884906120454</v>
      </c>
      <c r="D806" s="13">
        <f t="shared" si="26"/>
        <v>-0.19562695207683323</v>
      </c>
    </row>
    <row r="807" spans="1:4" x14ac:dyDescent="0.25">
      <c r="A807" t="s">
        <v>381</v>
      </c>
      <c r="B807" s="13">
        <f t="shared" ref="B807:C822" si="29">B368</f>
        <v>12.649353816142405</v>
      </c>
      <c r="C807" s="13">
        <f t="shared" si="29"/>
        <v>0.97029179874827287</v>
      </c>
      <c r="D807" s="13">
        <f t="shared" si="26"/>
        <v>-0.32535011215815635</v>
      </c>
    </row>
    <row r="808" spans="1:4" x14ac:dyDescent="0.25">
      <c r="A808" t="s">
        <v>381</v>
      </c>
      <c r="B808" s="13">
        <f t="shared" si="29"/>
        <v>12.649353816142405</v>
      </c>
      <c r="C808" s="13">
        <f t="shared" si="29"/>
        <v>1.4554376981224091</v>
      </c>
      <c r="D808" s="13">
        <f t="shared" si="26"/>
        <v>-0.6371822332977588</v>
      </c>
    </row>
    <row r="809" spans="1:4" x14ac:dyDescent="0.25">
      <c r="A809" t="s">
        <v>381</v>
      </c>
      <c r="B809" s="13">
        <f t="shared" si="29"/>
        <v>12.649353816142405</v>
      </c>
      <c r="C809" s="13">
        <f t="shared" si="29"/>
        <v>1.9405835974965457</v>
      </c>
      <c r="D809" s="13">
        <f t="shared" si="26"/>
        <v>-0.97856914055256372</v>
      </c>
    </row>
    <row r="810" spans="1:4" x14ac:dyDescent="0.25">
      <c r="A810" t="s">
        <v>381</v>
      </c>
      <c r="B810" s="13">
        <f t="shared" si="29"/>
        <v>12.649353816142405</v>
      </c>
      <c r="C810" s="13">
        <f t="shared" si="29"/>
        <v>2.425729496870682</v>
      </c>
      <c r="D810" s="13">
        <f t="shared" si="26"/>
        <v>-1.310634740041946</v>
      </c>
    </row>
    <row r="811" spans="1:4" x14ac:dyDescent="0.25">
      <c r="A811" t="s">
        <v>381</v>
      </c>
      <c r="B811" s="13">
        <f t="shared" si="29"/>
        <v>12.649353816142405</v>
      </c>
      <c r="C811" s="13">
        <f t="shared" si="29"/>
        <v>2.9108753962448182</v>
      </c>
      <c r="D811" s="13">
        <f t="shared" si="26"/>
        <v>-1.6053320171358723</v>
      </c>
    </row>
    <row r="812" spans="1:4" x14ac:dyDescent="0.25">
      <c r="A812" t="s">
        <v>381</v>
      </c>
      <c r="B812" s="13">
        <f t="shared" si="29"/>
        <v>12.649353816142405</v>
      </c>
      <c r="C812" s="13">
        <f t="shared" si="29"/>
        <v>3.3960212956189544</v>
      </c>
      <c r="D812" s="13">
        <f t="shared" si="26"/>
        <v>-1.8454430364549019</v>
      </c>
    </row>
    <row r="813" spans="1:4" x14ac:dyDescent="0.25">
      <c r="A813" t="s">
        <v>381</v>
      </c>
      <c r="B813" s="13">
        <f t="shared" si="29"/>
        <v>12.649353816142405</v>
      </c>
      <c r="C813" s="13">
        <f t="shared" si="29"/>
        <v>3.8811671949930915</v>
      </c>
      <c r="D813" s="13">
        <f t="shared" si="26"/>
        <v>-2.0245789418701827</v>
      </c>
    </row>
    <row r="814" spans="1:4" x14ac:dyDescent="0.25">
      <c r="A814" t="s">
        <v>381</v>
      </c>
      <c r="B814" s="13">
        <f t="shared" si="29"/>
        <v>12.649353816142405</v>
      </c>
      <c r="C814" s="13">
        <f t="shared" si="29"/>
        <v>4.3663130943672277</v>
      </c>
      <c r="D814" s="13">
        <f t="shared" si="26"/>
        <v>-2.1471799565034404</v>
      </c>
    </row>
    <row r="815" spans="1:4" x14ac:dyDescent="0.25">
      <c r="A815" t="s">
        <v>381</v>
      </c>
      <c r="B815" s="13">
        <f t="shared" si="29"/>
        <v>12.649353816142405</v>
      </c>
      <c r="C815" s="13">
        <f t="shared" si="29"/>
        <v>4.8514589937413639</v>
      </c>
      <c r="D815" s="13">
        <f t="shared" si="26"/>
        <v>-2.2285153827270259</v>
      </c>
    </row>
    <row r="816" spans="1:4" x14ac:dyDescent="0.25">
      <c r="A816" t="s">
        <v>381</v>
      </c>
      <c r="B816" s="13">
        <f t="shared" si="29"/>
        <v>12.649353816142405</v>
      </c>
      <c r="C816" s="13">
        <f t="shared" si="29"/>
        <v>6.2027165508162501</v>
      </c>
      <c r="D816" s="13">
        <f t="shared" si="26"/>
        <v>-2.4628543779546099</v>
      </c>
    </row>
    <row r="817" spans="1:4" x14ac:dyDescent="0.25">
      <c r="A817" t="s">
        <v>381</v>
      </c>
      <c r="B817" s="13">
        <f t="shared" si="29"/>
        <v>12.649353816142405</v>
      </c>
      <c r="C817" s="13">
        <f t="shared" si="29"/>
        <v>7.5539741078911371</v>
      </c>
      <c r="D817" s="13">
        <f t="shared" si="26"/>
        <v>-2.7842925606295768</v>
      </c>
    </row>
    <row r="818" spans="1:4" x14ac:dyDescent="0.25">
      <c r="A818" t="s">
        <v>381</v>
      </c>
      <c r="B818" s="13">
        <f t="shared" si="29"/>
        <v>12.649353816142405</v>
      </c>
      <c r="C818" s="13">
        <f t="shared" si="29"/>
        <v>8.9052316649660241</v>
      </c>
      <c r="D818" s="13">
        <f t="shared" si="26"/>
        <v>-3.1928299307519277</v>
      </c>
    </row>
    <row r="819" spans="1:4" x14ac:dyDescent="0.25">
      <c r="A819" t="s">
        <v>381</v>
      </c>
      <c r="B819" s="13">
        <f t="shared" si="29"/>
        <v>12.649353816142405</v>
      </c>
      <c r="C819" s="13">
        <f t="shared" si="29"/>
        <v>10.25648922204091</v>
      </c>
      <c r="D819" s="13">
        <f t="shared" si="26"/>
        <v>-3.6884664883216609</v>
      </c>
    </row>
    <row r="820" spans="1:4" x14ac:dyDescent="0.25">
      <c r="A820" t="s">
        <v>381</v>
      </c>
      <c r="B820" s="13">
        <f t="shared" si="29"/>
        <v>6.3246769080712024</v>
      </c>
      <c r="C820" s="13">
        <f t="shared" si="29"/>
        <v>0</v>
      </c>
      <c r="D820" s="13">
        <f t="shared" si="26"/>
        <v>0</v>
      </c>
    </row>
    <row r="821" spans="1:4" x14ac:dyDescent="0.25">
      <c r="A821" t="s">
        <v>381</v>
      </c>
      <c r="B821" s="13">
        <f t="shared" si="29"/>
        <v>6.3246769080712024</v>
      </c>
      <c r="C821" s="13">
        <f t="shared" si="29"/>
        <v>4.8514589937413644E-2</v>
      </c>
      <c r="D821" s="13">
        <f t="shared" si="26"/>
        <v>-1.5267445869010648E-4</v>
      </c>
    </row>
    <row r="822" spans="1:4" x14ac:dyDescent="0.25">
      <c r="A822" t="s">
        <v>381</v>
      </c>
      <c r="B822" s="13">
        <f t="shared" si="29"/>
        <v>6.3246769080712024</v>
      </c>
      <c r="C822" s="13">
        <f t="shared" si="29"/>
        <v>0.1455437698122409</v>
      </c>
      <c r="D822" s="13">
        <f t="shared" si="26"/>
        <v>-1.3821705012613875E-3</v>
      </c>
    </row>
    <row r="823" spans="1:4" x14ac:dyDescent="0.25">
      <c r="A823" t="s">
        <v>381</v>
      </c>
      <c r="B823" s="13">
        <f t="shared" ref="B823:C838" si="30">B384</f>
        <v>6.3246769080712024</v>
      </c>
      <c r="C823" s="13">
        <f t="shared" si="30"/>
        <v>0.24257294968706822</v>
      </c>
      <c r="D823" s="13">
        <f t="shared" si="26"/>
        <v>-3.8962320303126243E-3</v>
      </c>
    </row>
    <row r="824" spans="1:4" x14ac:dyDescent="0.25">
      <c r="A824" t="s">
        <v>381</v>
      </c>
      <c r="B824" s="13">
        <f t="shared" si="30"/>
        <v>6.3246769080712024</v>
      </c>
      <c r="C824" s="13">
        <f t="shared" si="30"/>
        <v>0.3396021295618955</v>
      </c>
      <c r="D824" s="13">
        <f t="shared" si="26"/>
        <v>-7.7517001642435556E-3</v>
      </c>
    </row>
    <row r="825" spans="1:4" x14ac:dyDescent="0.25">
      <c r="A825" t="s">
        <v>381</v>
      </c>
      <c r="B825" s="13">
        <f>B386</f>
        <v>6.3246769080712024</v>
      </c>
      <c r="C825" s="13">
        <f t="shared" si="30"/>
        <v>0.48514589937413644</v>
      </c>
      <c r="D825" s="13">
        <f t="shared" ref="D825:D844" si="31">-D386</f>
        <v>-1.6157498887777906E-2</v>
      </c>
    </row>
    <row r="826" spans="1:4" x14ac:dyDescent="0.25">
      <c r="A826" t="s">
        <v>381</v>
      </c>
      <c r="B826" s="13">
        <f t="shared" ref="B826:C841" si="32">B387</f>
        <v>6.3246769080712024</v>
      </c>
      <c r="C826" s="13">
        <f t="shared" si="30"/>
        <v>0.72771884906120454</v>
      </c>
      <c r="D826" s="13">
        <f t="shared" si="31"/>
        <v>-3.7484378513937378E-2</v>
      </c>
    </row>
    <row r="827" spans="1:4" x14ac:dyDescent="0.25">
      <c r="A827" t="s">
        <v>381</v>
      </c>
      <c r="B827" s="13">
        <f t="shared" si="32"/>
        <v>6.3246769080712024</v>
      </c>
      <c r="C827" s="13">
        <f t="shared" si="30"/>
        <v>0.97029179874827287</v>
      </c>
      <c r="D827" s="13">
        <f t="shared" si="31"/>
        <v>-6.8309499516827313E-2</v>
      </c>
    </row>
    <row r="828" spans="1:4" x14ac:dyDescent="0.25">
      <c r="A828" t="s">
        <v>381</v>
      </c>
      <c r="B828" s="13">
        <f t="shared" si="32"/>
        <v>6.3246769080712024</v>
      </c>
      <c r="C828" s="13">
        <f t="shared" si="30"/>
        <v>1.4554376981224091</v>
      </c>
      <c r="D828" s="13">
        <f t="shared" si="31"/>
        <v>-0.15884523341741333</v>
      </c>
    </row>
    <row r="829" spans="1:4" x14ac:dyDescent="0.25">
      <c r="A829" t="s">
        <v>381</v>
      </c>
      <c r="B829" s="13">
        <f t="shared" si="32"/>
        <v>6.3246769080712024</v>
      </c>
      <c r="C829" s="13">
        <f t="shared" si="30"/>
        <v>1.9405835974965457</v>
      </c>
      <c r="D829" s="13">
        <f t="shared" si="31"/>
        <v>-0.28586674278371083</v>
      </c>
    </row>
    <row r="830" spans="1:4" x14ac:dyDescent="0.25">
      <c r="A830" t="s">
        <v>381</v>
      </c>
      <c r="B830" s="13">
        <f t="shared" si="32"/>
        <v>6.3246769080712024</v>
      </c>
      <c r="C830" s="13">
        <f t="shared" si="30"/>
        <v>2.425729496870682</v>
      </c>
      <c r="D830" s="13">
        <f t="shared" si="31"/>
        <v>-0.44318888047380284</v>
      </c>
    </row>
    <row r="831" spans="1:4" x14ac:dyDescent="0.25">
      <c r="A831" t="s">
        <v>381</v>
      </c>
      <c r="B831" s="13">
        <f t="shared" si="32"/>
        <v>6.3246769080712024</v>
      </c>
      <c r="C831" s="13">
        <f t="shared" si="30"/>
        <v>2.9108753962448182</v>
      </c>
      <c r="D831" s="13">
        <f t="shared" si="31"/>
        <v>-0.62033931000968223</v>
      </c>
    </row>
    <row r="832" spans="1:4" x14ac:dyDescent="0.25">
      <c r="A832" t="s">
        <v>381</v>
      </c>
      <c r="B832" s="13">
        <f t="shared" si="32"/>
        <v>6.3246769080712024</v>
      </c>
      <c r="C832" s="13">
        <f t="shared" si="30"/>
        <v>3.3960212956189544</v>
      </c>
      <c r="D832" s="13">
        <f t="shared" si="31"/>
        <v>-0.80255850557725184</v>
      </c>
    </row>
    <row r="833" spans="1:8" x14ac:dyDescent="0.25">
      <c r="A833" t="s">
        <v>381</v>
      </c>
      <c r="B833" s="13">
        <f t="shared" si="32"/>
        <v>6.3246769080712024</v>
      </c>
      <c r="C833" s="13">
        <f t="shared" si="30"/>
        <v>3.8811671949930915</v>
      </c>
      <c r="D833" s="13">
        <f t="shared" si="31"/>
        <v>-0.97079975202632318</v>
      </c>
    </row>
    <row r="834" spans="1:8" x14ac:dyDescent="0.25">
      <c r="A834" t="s">
        <v>381</v>
      </c>
      <c r="B834" s="13">
        <f t="shared" si="32"/>
        <v>6.3246769080712024</v>
      </c>
      <c r="C834" s="13">
        <f t="shared" si="30"/>
        <v>4.3663130943672277</v>
      </c>
      <c r="D834" s="13">
        <f t="shared" si="31"/>
        <v>-1.1017291448706124</v>
      </c>
    </row>
    <row r="835" spans="1:8" x14ac:dyDescent="0.25">
      <c r="A835" t="s">
        <v>381</v>
      </c>
      <c r="B835" s="13">
        <f t="shared" si="32"/>
        <v>6.3246769080712024</v>
      </c>
      <c r="C835" s="13">
        <f t="shared" si="30"/>
        <v>4.8514589937413639</v>
      </c>
      <c r="D835" s="13">
        <f t="shared" si="31"/>
        <v>-1.1677255902877577</v>
      </c>
    </row>
    <row r="836" spans="1:8" x14ac:dyDescent="0.25">
      <c r="A836" t="s">
        <v>381</v>
      </c>
      <c r="B836" s="13">
        <f t="shared" si="32"/>
        <v>6.3246769080712024</v>
      </c>
      <c r="C836" s="13">
        <f t="shared" si="30"/>
        <v>6.3029825550590042</v>
      </c>
      <c r="D836" s="13">
        <f t="shared" si="31"/>
        <v>-1.3100043233101375</v>
      </c>
    </row>
    <row r="837" spans="1:8" x14ac:dyDescent="0.25">
      <c r="A837" t="s">
        <v>381</v>
      </c>
      <c r="B837" s="13">
        <f t="shared" si="32"/>
        <v>6.3246769080712024</v>
      </c>
      <c r="C837" s="13">
        <f t="shared" si="30"/>
        <v>7.7545061163766444</v>
      </c>
      <c r="D837" s="13">
        <f t="shared" si="31"/>
        <v>-1.5977088423028389</v>
      </c>
    </row>
    <row r="838" spans="1:8" x14ac:dyDescent="0.25">
      <c r="A838" t="s">
        <v>381</v>
      </c>
      <c r="B838" s="13">
        <f t="shared" si="32"/>
        <v>6.3246769080712024</v>
      </c>
      <c r="C838" s="13">
        <f t="shared" si="30"/>
        <v>9.2060296776942856</v>
      </c>
      <c r="D838" s="13">
        <f t="shared" si="31"/>
        <v>-2.030839147265862</v>
      </c>
    </row>
    <row r="839" spans="1:8" x14ac:dyDescent="0.25">
      <c r="A839" t="s">
        <v>381</v>
      </c>
      <c r="B839" s="13">
        <f t="shared" si="32"/>
        <v>6.3246769080712024</v>
      </c>
      <c r="C839" s="13">
        <f t="shared" si="32"/>
        <v>10.657553239011925</v>
      </c>
      <c r="D839" s="13">
        <f t="shared" si="31"/>
        <v>-2.6093952381992067</v>
      </c>
    </row>
    <row r="840" spans="1:8" x14ac:dyDescent="0.25">
      <c r="A840" t="s">
        <v>381</v>
      </c>
      <c r="B840" s="13">
        <f t="shared" si="32"/>
        <v>0</v>
      </c>
      <c r="C840" s="13">
        <f t="shared" si="32"/>
        <v>4.8514589937413639</v>
      </c>
      <c r="D840" s="13">
        <f t="shared" si="31"/>
        <v>0</v>
      </c>
    </row>
    <row r="841" spans="1:8" x14ac:dyDescent="0.25">
      <c r="A841" t="s">
        <v>381</v>
      </c>
      <c r="B841" s="13">
        <f t="shared" si="32"/>
        <v>0</v>
      </c>
      <c r="C841" s="13">
        <f t="shared" si="32"/>
        <v>6.4175142136774248</v>
      </c>
      <c r="D841" s="13">
        <f t="shared" si="31"/>
        <v>-0.11278119606000885</v>
      </c>
    </row>
    <row r="842" spans="1:8" x14ac:dyDescent="0.25">
      <c r="A842" t="s">
        <v>381</v>
      </c>
      <c r="B842" s="13">
        <f t="shared" ref="B842:C844" si="33">B403</f>
        <v>0</v>
      </c>
      <c r="C842" s="13">
        <f t="shared" si="33"/>
        <v>7.9835694336134848</v>
      </c>
      <c r="D842" s="13">
        <f t="shared" si="31"/>
        <v>-0.36691156815107367</v>
      </c>
    </row>
    <row r="843" spans="1:8" x14ac:dyDescent="0.25">
      <c r="A843" t="s">
        <v>381</v>
      </c>
      <c r="B843" s="13">
        <f t="shared" si="33"/>
        <v>0</v>
      </c>
      <c r="C843" s="13">
        <f t="shared" si="33"/>
        <v>9.5496246535495448</v>
      </c>
      <c r="D843" s="13">
        <f t="shared" si="31"/>
        <v>-0.76239111627319445</v>
      </c>
    </row>
    <row r="844" spans="1:8" x14ac:dyDescent="0.25">
      <c r="A844" t="s">
        <v>381</v>
      </c>
      <c r="B844" s="13">
        <f t="shared" si="33"/>
        <v>0</v>
      </c>
      <c r="C844" s="13">
        <f t="shared" si="33"/>
        <v>11.115679873485606</v>
      </c>
      <c r="D844" s="13">
        <f t="shared" si="31"/>
        <v>-1.2992198404263713</v>
      </c>
    </row>
    <row r="845" spans="1:8" x14ac:dyDescent="0.25">
      <c r="A845" t="s">
        <v>75</v>
      </c>
      <c r="B845" s="12">
        <v>1</v>
      </c>
      <c r="C845" s="12">
        <f>B845+1</f>
        <v>2</v>
      </c>
      <c r="D845" s="12">
        <f>B845+20</f>
        <v>21</v>
      </c>
      <c r="F845" s="12"/>
      <c r="G845" s="12"/>
      <c r="H845" s="12"/>
    </row>
    <row r="846" spans="1:8" x14ac:dyDescent="0.25">
      <c r="A846" t="s">
        <v>75</v>
      </c>
      <c r="B846" s="12">
        <f>B845+1</f>
        <v>2</v>
      </c>
      <c r="C846" s="12">
        <f>B845+20</f>
        <v>21</v>
      </c>
      <c r="D846" s="12">
        <f>C846+1</f>
        <v>22</v>
      </c>
      <c r="F846" s="12"/>
      <c r="G846" s="12"/>
      <c r="H846" s="12"/>
    </row>
    <row r="847" spans="1:8" x14ac:dyDescent="0.25">
      <c r="A847" t="s">
        <v>75</v>
      </c>
      <c r="B847" s="12">
        <f>B846</f>
        <v>2</v>
      </c>
      <c r="C847" s="12">
        <f>B847+1</f>
        <v>3</v>
      </c>
      <c r="D847" s="12">
        <f>B847+20</f>
        <v>22</v>
      </c>
      <c r="F847" s="12"/>
      <c r="G847" s="12"/>
      <c r="H847" s="12"/>
    </row>
    <row r="848" spans="1:8" x14ac:dyDescent="0.25">
      <c r="A848" t="s">
        <v>75</v>
      </c>
      <c r="B848" s="12">
        <f>B847+1</f>
        <v>3</v>
      </c>
      <c r="C848" s="12">
        <f>B847+20</f>
        <v>22</v>
      </c>
      <c r="D848" s="12">
        <f>C848+1</f>
        <v>23</v>
      </c>
      <c r="F848" s="12"/>
      <c r="G848" s="12"/>
      <c r="H848" s="12"/>
    </row>
    <row r="849" spans="1:8" x14ac:dyDescent="0.25">
      <c r="A849" t="s">
        <v>75</v>
      </c>
      <c r="B849" s="12">
        <f>B848</f>
        <v>3</v>
      </c>
      <c r="C849" s="12">
        <f>B849+1</f>
        <v>4</v>
      </c>
      <c r="D849" s="12">
        <f>B849+20</f>
        <v>23</v>
      </c>
      <c r="F849" s="12"/>
      <c r="G849" s="12"/>
      <c r="H849" s="12"/>
    </row>
    <row r="850" spans="1:8" x14ac:dyDescent="0.25">
      <c r="A850" t="s">
        <v>75</v>
      </c>
      <c r="B850" s="12">
        <f>B849+1</f>
        <v>4</v>
      </c>
      <c r="C850" s="12">
        <f>B849+20</f>
        <v>23</v>
      </c>
      <c r="D850" s="12">
        <f>C850+1</f>
        <v>24</v>
      </c>
      <c r="F850" s="12"/>
      <c r="G850" s="12"/>
      <c r="H850" s="12"/>
    </row>
    <row r="851" spans="1:8" x14ac:dyDescent="0.25">
      <c r="A851" t="s">
        <v>75</v>
      </c>
      <c r="B851" s="12">
        <f>B850</f>
        <v>4</v>
      </c>
      <c r="C851" s="12">
        <f>B851+1</f>
        <v>5</v>
      </c>
      <c r="D851" s="12">
        <f>B851+20</f>
        <v>24</v>
      </c>
      <c r="F851" s="12"/>
      <c r="G851" s="12"/>
      <c r="H851" s="12"/>
    </row>
    <row r="852" spans="1:8" x14ac:dyDescent="0.25">
      <c r="A852" t="s">
        <v>75</v>
      </c>
      <c r="B852" s="12">
        <f>B851+1</f>
        <v>5</v>
      </c>
      <c r="C852" s="12">
        <f>B851+20</f>
        <v>24</v>
      </c>
      <c r="D852" s="12">
        <f>C852+1</f>
        <v>25</v>
      </c>
      <c r="F852" s="12"/>
      <c r="G852" s="12"/>
      <c r="H852" s="12"/>
    </row>
    <row r="853" spans="1:8" x14ac:dyDescent="0.25">
      <c r="A853" t="s">
        <v>75</v>
      </c>
      <c r="B853" s="12">
        <f>B852</f>
        <v>5</v>
      </c>
      <c r="C853" s="12">
        <f>B853+1</f>
        <v>6</v>
      </c>
      <c r="D853" s="12">
        <f>B853+20</f>
        <v>25</v>
      </c>
      <c r="F853" s="12"/>
      <c r="G853" s="12"/>
      <c r="H853" s="12"/>
    </row>
    <row r="854" spans="1:8" x14ac:dyDescent="0.25">
      <c r="A854" t="s">
        <v>75</v>
      </c>
      <c r="B854" s="12">
        <f>B853+1</f>
        <v>6</v>
      </c>
      <c r="C854" s="12">
        <f>B853+20</f>
        <v>25</v>
      </c>
      <c r="D854" s="12">
        <f>C854+1</f>
        <v>26</v>
      </c>
      <c r="F854" s="12"/>
      <c r="G854" s="12"/>
      <c r="H854" s="12"/>
    </row>
    <row r="855" spans="1:8" x14ac:dyDescent="0.25">
      <c r="A855" t="s">
        <v>75</v>
      </c>
      <c r="B855" s="12">
        <f>B854</f>
        <v>6</v>
      </c>
      <c r="C855" s="12">
        <f>B855+1</f>
        <v>7</v>
      </c>
      <c r="D855" s="12">
        <f>B855+20</f>
        <v>26</v>
      </c>
      <c r="F855" s="12"/>
      <c r="G855" s="12"/>
      <c r="H855" s="12"/>
    </row>
    <row r="856" spans="1:8" x14ac:dyDescent="0.25">
      <c r="A856" t="s">
        <v>75</v>
      </c>
      <c r="B856" s="12">
        <f>B855+1</f>
        <v>7</v>
      </c>
      <c r="C856" s="12">
        <f>B855+20</f>
        <v>26</v>
      </c>
      <c r="D856" s="12">
        <f>C856+1</f>
        <v>27</v>
      </c>
      <c r="F856" s="12"/>
      <c r="G856" s="12"/>
      <c r="H856" s="12"/>
    </row>
    <row r="857" spans="1:8" x14ac:dyDescent="0.25">
      <c r="A857" t="s">
        <v>75</v>
      </c>
      <c r="B857" s="12">
        <f>B856</f>
        <v>7</v>
      </c>
      <c r="C857" s="12">
        <f>B857+1</f>
        <v>8</v>
      </c>
      <c r="D857" s="12">
        <f>B857+20</f>
        <v>27</v>
      </c>
      <c r="F857" s="12"/>
      <c r="G857" s="12"/>
      <c r="H857" s="12"/>
    </row>
    <row r="858" spans="1:8" x14ac:dyDescent="0.25">
      <c r="A858" t="s">
        <v>75</v>
      </c>
      <c r="B858" s="12">
        <f>B857+1</f>
        <v>8</v>
      </c>
      <c r="C858" s="12">
        <f>B857+20</f>
        <v>27</v>
      </c>
      <c r="D858" s="12">
        <f>C858+1</f>
        <v>28</v>
      </c>
      <c r="F858" s="12"/>
      <c r="G858" s="12"/>
      <c r="H858" s="12"/>
    </row>
    <row r="859" spans="1:8" x14ac:dyDescent="0.25">
      <c r="A859" t="s">
        <v>75</v>
      </c>
      <c r="B859" s="12">
        <f>B858</f>
        <v>8</v>
      </c>
      <c r="C859" s="12">
        <f>B859+1</f>
        <v>9</v>
      </c>
      <c r="D859" s="12">
        <f>B859+20</f>
        <v>28</v>
      </c>
      <c r="F859" s="12"/>
      <c r="G859" s="12"/>
      <c r="H859" s="12"/>
    </row>
    <row r="860" spans="1:8" x14ac:dyDescent="0.25">
      <c r="A860" t="s">
        <v>75</v>
      </c>
      <c r="B860" s="12">
        <f>B859+1</f>
        <v>9</v>
      </c>
      <c r="C860" s="12">
        <f>B859+20</f>
        <v>28</v>
      </c>
      <c r="D860" s="12">
        <f>C860+1</f>
        <v>29</v>
      </c>
      <c r="F860" s="12"/>
      <c r="G860" s="12"/>
      <c r="H860" s="12"/>
    </row>
    <row r="861" spans="1:8" x14ac:dyDescent="0.25">
      <c r="A861" t="s">
        <v>75</v>
      </c>
      <c r="B861" s="12">
        <f>B860</f>
        <v>9</v>
      </c>
      <c r="C861" s="12">
        <f>B861+1</f>
        <v>10</v>
      </c>
      <c r="D861" s="12">
        <f>B861+20</f>
        <v>29</v>
      </c>
      <c r="F861" s="12"/>
      <c r="G861" s="12"/>
      <c r="H861" s="12"/>
    </row>
    <row r="862" spans="1:8" x14ac:dyDescent="0.25">
      <c r="A862" t="s">
        <v>75</v>
      </c>
      <c r="B862" s="12">
        <f>B861+1</f>
        <v>10</v>
      </c>
      <c r="C862" s="12">
        <f>B861+20</f>
        <v>29</v>
      </c>
      <c r="D862" s="12">
        <f>C862+1</f>
        <v>30</v>
      </c>
      <c r="F862" s="12"/>
      <c r="G862" s="12"/>
      <c r="H862" s="12"/>
    </row>
    <row r="863" spans="1:8" x14ac:dyDescent="0.25">
      <c r="A863" t="s">
        <v>75</v>
      </c>
      <c r="B863" s="12">
        <f>B862</f>
        <v>10</v>
      </c>
      <c r="C863" s="12">
        <f>B863+1</f>
        <v>11</v>
      </c>
      <c r="D863" s="12">
        <f>B863+20</f>
        <v>30</v>
      </c>
      <c r="F863" s="12"/>
      <c r="G863" s="12"/>
      <c r="H863" s="12"/>
    </row>
    <row r="864" spans="1:8" x14ac:dyDescent="0.25">
      <c r="A864" t="s">
        <v>75</v>
      </c>
      <c r="B864" s="12">
        <f>B863+1</f>
        <v>11</v>
      </c>
      <c r="C864" s="12">
        <f>B863+20</f>
        <v>30</v>
      </c>
      <c r="D864" s="12">
        <f>C864+1</f>
        <v>31</v>
      </c>
      <c r="F864" s="12"/>
      <c r="G864" s="12"/>
      <c r="H864" s="12"/>
    </row>
    <row r="865" spans="1:8" x14ac:dyDescent="0.25">
      <c r="A865" t="s">
        <v>75</v>
      </c>
      <c r="B865" s="12">
        <f>B864</f>
        <v>11</v>
      </c>
      <c r="C865" s="12">
        <f>B865+1</f>
        <v>12</v>
      </c>
      <c r="D865" s="12">
        <f>B865+20</f>
        <v>31</v>
      </c>
      <c r="F865" s="12"/>
      <c r="G865" s="12"/>
      <c r="H865" s="12"/>
    </row>
    <row r="866" spans="1:8" x14ac:dyDescent="0.25">
      <c r="A866" t="s">
        <v>75</v>
      </c>
      <c r="B866" s="12">
        <f>B865+1</f>
        <v>12</v>
      </c>
      <c r="C866" s="12">
        <f>B865+20</f>
        <v>31</v>
      </c>
      <c r="D866" s="12">
        <f>C866+1</f>
        <v>32</v>
      </c>
      <c r="F866" s="12"/>
      <c r="G866" s="12"/>
      <c r="H866" s="12"/>
    </row>
    <row r="867" spans="1:8" x14ac:dyDescent="0.25">
      <c r="A867" t="s">
        <v>75</v>
      </c>
      <c r="B867" s="12">
        <f>B866</f>
        <v>12</v>
      </c>
      <c r="C867" s="12">
        <f>B867+1</f>
        <v>13</v>
      </c>
      <c r="D867" s="12">
        <f>B867+20</f>
        <v>32</v>
      </c>
      <c r="F867" s="12"/>
      <c r="G867" s="12"/>
      <c r="H867" s="12"/>
    </row>
    <row r="868" spans="1:8" x14ac:dyDescent="0.25">
      <c r="A868" t="s">
        <v>75</v>
      </c>
      <c r="B868" s="12">
        <f>B867+1</f>
        <v>13</v>
      </c>
      <c r="C868" s="12">
        <f>B867+20</f>
        <v>32</v>
      </c>
      <c r="D868" s="12">
        <f>C868+1</f>
        <v>33</v>
      </c>
      <c r="F868" s="12"/>
      <c r="G868" s="12"/>
      <c r="H868" s="12"/>
    </row>
    <row r="869" spans="1:8" x14ac:dyDescent="0.25">
      <c r="A869" t="s">
        <v>75</v>
      </c>
      <c r="B869" s="12">
        <f>B868</f>
        <v>13</v>
      </c>
      <c r="C869" s="12">
        <f>B869+1</f>
        <v>14</v>
      </c>
      <c r="D869" s="12">
        <f>B869+20</f>
        <v>33</v>
      </c>
      <c r="F869" s="12"/>
      <c r="G869" s="12"/>
      <c r="H869" s="12"/>
    </row>
    <row r="870" spans="1:8" x14ac:dyDescent="0.25">
      <c r="A870" t="s">
        <v>75</v>
      </c>
      <c r="B870" s="12">
        <f>B869+1</f>
        <v>14</v>
      </c>
      <c r="C870" s="12">
        <f>B869+20</f>
        <v>33</v>
      </c>
      <c r="D870" s="12">
        <f>C870+1</f>
        <v>34</v>
      </c>
      <c r="F870" s="12"/>
      <c r="G870" s="12"/>
      <c r="H870" s="12"/>
    </row>
    <row r="871" spans="1:8" x14ac:dyDescent="0.25">
      <c r="A871" t="s">
        <v>75</v>
      </c>
      <c r="B871" s="12">
        <f>B870</f>
        <v>14</v>
      </c>
      <c r="C871" s="12">
        <f>B871+1</f>
        <v>15</v>
      </c>
      <c r="D871" s="12">
        <f>B871+20</f>
        <v>34</v>
      </c>
      <c r="F871" s="12"/>
      <c r="G871" s="12"/>
      <c r="H871" s="12"/>
    </row>
    <row r="872" spans="1:8" x14ac:dyDescent="0.25">
      <c r="A872" t="s">
        <v>75</v>
      </c>
      <c r="B872" s="12">
        <f>B871+1</f>
        <v>15</v>
      </c>
      <c r="C872" s="12">
        <f>B871+20</f>
        <v>34</v>
      </c>
      <c r="D872" s="12">
        <f>C872+1</f>
        <v>35</v>
      </c>
      <c r="F872" s="12"/>
      <c r="G872" s="12"/>
      <c r="H872" s="12"/>
    </row>
    <row r="873" spans="1:8" x14ac:dyDescent="0.25">
      <c r="A873" t="s">
        <v>75</v>
      </c>
      <c r="B873" s="12">
        <f>B872</f>
        <v>15</v>
      </c>
      <c r="C873" s="12">
        <f>B873+1</f>
        <v>16</v>
      </c>
      <c r="D873" s="12">
        <f>B873+20</f>
        <v>35</v>
      </c>
      <c r="F873" s="12"/>
      <c r="G873" s="12"/>
      <c r="H873" s="12"/>
    </row>
    <row r="874" spans="1:8" x14ac:dyDescent="0.25">
      <c r="A874" t="s">
        <v>75</v>
      </c>
      <c r="B874" s="12">
        <f>B873+1</f>
        <v>16</v>
      </c>
      <c r="C874" s="12">
        <f>B873+20</f>
        <v>35</v>
      </c>
      <c r="D874" s="12">
        <f>C874+1</f>
        <v>36</v>
      </c>
      <c r="F874" s="12"/>
      <c r="G874" s="12"/>
      <c r="H874" s="12"/>
    </row>
    <row r="875" spans="1:8" x14ac:dyDescent="0.25">
      <c r="A875" t="s">
        <v>75</v>
      </c>
      <c r="B875" s="12">
        <f>B874</f>
        <v>16</v>
      </c>
      <c r="C875" s="12">
        <f>B875+1</f>
        <v>17</v>
      </c>
      <c r="D875" s="12">
        <f>B875+20</f>
        <v>36</v>
      </c>
      <c r="F875" s="12"/>
      <c r="G875" s="12"/>
      <c r="H875" s="12"/>
    </row>
    <row r="876" spans="1:8" x14ac:dyDescent="0.25">
      <c r="A876" t="s">
        <v>75</v>
      </c>
      <c r="B876" s="12">
        <f>B875+1</f>
        <v>17</v>
      </c>
      <c r="C876" s="12">
        <f>B875+20</f>
        <v>36</v>
      </c>
      <c r="D876" s="12">
        <f>C876+1</f>
        <v>37</v>
      </c>
      <c r="F876" s="12"/>
      <c r="G876" s="12"/>
      <c r="H876" s="12"/>
    </row>
    <row r="877" spans="1:8" x14ac:dyDescent="0.25">
      <c r="A877" t="s">
        <v>75</v>
      </c>
      <c r="B877" s="12">
        <f>B876</f>
        <v>17</v>
      </c>
      <c r="C877" s="12">
        <f>B877+1</f>
        <v>18</v>
      </c>
      <c r="D877" s="12">
        <f>B877+20</f>
        <v>37</v>
      </c>
      <c r="F877" s="12"/>
      <c r="G877" s="12"/>
      <c r="H877" s="12"/>
    </row>
    <row r="878" spans="1:8" x14ac:dyDescent="0.25">
      <c r="A878" t="s">
        <v>75</v>
      </c>
      <c r="B878" s="12">
        <f>B877+1</f>
        <v>18</v>
      </c>
      <c r="C878" s="12">
        <f>B877+20</f>
        <v>37</v>
      </c>
      <c r="D878" s="12">
        <f>C878+1</f>
        <v>38</v>
      </c>
      <c r="F878" s="12"/>
      <c r="G878" s="12"/>
      <c r="H878" s="12"/>
    </row>
    <row r="879" spans="1:8" x14ac:dyDescent="0.25">
      <c r="A879" t="s">
        <v>75</v>
      </c>
      <c r="B879" s="12">
        <f>B878</f>
        <v>18</v>
      </c>
      <c r="C879" s="12">
        <f>B879+1</f>
        <v>19</v>
      </c>
      <c r="D879" s="12">
        <f>B879+20</f>
        <v>38</v>
      </c>
      <c r="F879" s="12"/>
      <c r="G879" s="12"/>
      <c r="H879" s="12"/>
    </row>
    <row r="880" spans="1:8" x14ac:dyDescent="0.25">
      <c r="A880" t="s">
        <v>75</v>
      </c>
      <c r="B880" s="12">
        <f>B879+1</f>
        <v>19</v>
      </c>
      <c r="C880" s="12">
        <f>B879+20</f>
        <v>38</v>
      </c>
      <c r="D880" s="12">
        <f>C880+1</f>
        <v>39</v>
      </c>
      <c r="F880" s="12"/>
      <c r="G880" s="12"/>
      <c r="H880" s="12"/>
    </row>
    <row r="881" spans="1:8" x14ac:dyDescent="0.25">
      <c r="A881" t="s">
        <v>75</v>
      </c>
      <c r="B881" s="12">
        <f>B880</f>
        <v>19</v>
      </c>
      <c r="C881" s="12">
        <f>B881+1</f>
        <v>20</v>
      </c>
      <c r="D881" s="12">
        <f>B881+20</f>
        <v>39</v>
      </c>
      <c r="F881" s="12"/>
      <c r="G881" s="12"/>
      <c r="H881" s="12"/>
    </row>
    <row r="882" spans="1:8" x14ac:dyDescent="0.25">
      <c r="A882" t="s">
        <v>75</v>
      </c>
      <c r="B882" s="12">
        <f>B881+1</f>
        <v>20</v>
      </c>
      <c r="C882" s="12">
        <f>B881+20</f>
        <v>39</v>
      </c>
      <c r="D882" s="12">
        <f>C882+1</f>
        <v>40</v>
      </c>
      <c r="F882" s="12"/>
      <c r="G882" s="12"/>
      <c r="H882" s="12"/>
    </row>
    <row r="883" spans="1:8" x14ac:dyDescent="0.25">
      <c r="A883" t="s">
        <v>75</v>
      </c>
      <c r="B883" s="12">
        <f>B882</f>
        <v>20</v>
      </c>
      <c r="C883" s="12">
        <f>B883+1</f>
        <v>21</v>
      </c>
      <c r="D883" s="12">
        <f>B883+20</f>
        <v>40</v>
      </c>
      <c r="F883" s="12"/>
      <c r="G883" s="12"/>
      <c r="H883" s="12"/>
    </row>
    <row r="884" spans="1:8" x14ac:dyDescent="0.25">
      <c r="A884" t="s">
        <v>75</v>
      </c>
      <c r="B884" s="12">
        <f>B883+1</f>
        <v>21</v>
      </c>
      <c r="C884" s="12">
        <f>B883+20</f>
        <v>40</v>
      </c>
      <c r="D884" s="12">
        <f>C884+1</f>
        <v>41</v>
      </c>
      <c r="F884" s="12"/>
      <c r="G884" s="12"/>
      <c r="H884" s="12"/>
    </row>
    <row r="885" spans="1:8" x14ac:dyDescent="0.25">
      <c r="A885" t="s">
        <v>75</v>
      </c>
      <c r="B885" s="12">
        <f>B884</f>
        <v>21</v>
      </c>
      <c r="C885" s="12">
        <f>B885+1</f>
        <v>22</v>
      </c>
      <c r="D885" s="12">
        <f>B885+20</f>
        <v>41</v>
      </c>
    </row>
    <row r="886" spans="1:8" x14ac:dyDescent="0.25">
      <c r="A886" t="s">
        <v>75</v>
      </c>
      <c r="B886" s="12">
        <f>B885+1</f>
        <v>22</v>
      </c>
      <c r="C886" s="12">
        <f>B885+20</f>
        <v>41</v>
      </c>
      <c r="D886" s="12">
        <f>C886+1</f>
        <v>42</v>
      </c>
    </row>
    <row r="887" spans="1:8" x14ac:dyDescent="0.25">
      <c r="A887" t="s">
        <v>75</v>
      </c>
      <c r="B887" s="12">
        <f>B886</f>
        <v>22</v>
      </c>
      <c r="C887" s="12">
        <f>B887+1</f>
        <v>23</v>
      </c>
      <c r="D887" s="12">
        <f>B887+20</f>
        <v>42</v>
      </c>
    </row>
    <row r="888" spans="1:8" x14ac:dyDescent="0.25">
      <c r="A888" t="s">
        <v>75</v>
      </c>
      <c r="B888" s="12">
        <f>B887+1</f>
        <v>23</v>
      </c>
      <c r="C888" s="12">
        <f>B887+20</f>
        <v>42</v>
      </c>
      <c r="D888" s="12">
        <f>C888+1</f>
        <v>43</v>
      </c>
    </row>
    <row r="889" spans="1:8" x14ac:dyDescent="0.25">
      <c r="A889" t="s">
        <v>75</v>
      </c>
      <c r="B889" s="12">
        <f>B888</f>
        <v>23</v>
      </c>
      <c r="C889" s="12">
        <f>B889+1</f>
        <v>24</v>
      </c>
      <c r="D889" s="12">
        <f>B889+20</f>
        <v>43</v>
      </c>
    </row>
    <row r="890" spans="1:8" x14ac:dyDescent="0.25">
      <c r="A890" t="s">
        <v>75</v>
      </c>
      <c r="B890" s="12">
        <f>B889+1</f>
        <v>24</v>
      </c>
      <c r="C890" s="12">
        <f>B889+20</f>
        <v>43</v>
      </c>
      <c r="D890" s="12">
        <f>C890+1</f>
        <v>44</v>
      </c>
    </row>
    <row r="891" spans="1:8" x14ac:dyDescent="0.25">
      <c r="A891" t="s">
        <v>75</v>
      </c>
      <c r="B891" s="12">
        <f>B890</f>
        <v>24</v>
      </c>
      <c r="C891" s="12">
        <f>B891+1</f>
        <v>25</v>
      </c>
      <c r="D891" s="12">
        <f>B891+20</f>
        <v>44</v>
      </c>
    </row>
    <row r="892" spans="1:8" x14ac:dyDescent="0.25">
      <c r="A892" t="s">
        <v>75</v>
      </c>
      <c r="B892" s="12">
        <f>B891+1</f>
        <v>25</v>
      </c>
      <c r="C892" s="12">
        <f>B891+20</f>
        <v>44</v>
      </c>
      <c r="D892" s="12">
        <f>C892+1</f>
        <v>45</v>
      </c>
    </row>
    <row r="893" spans="1:8" x14ac:dyDescent="0.25">
      <c r="A893" t="s">
        <v>75</v>
      </c>
      <c r="B893" s="12">
        <f>B892</f>
        <v>25</v>
      </c>
      <c r="C893" s="12">
        <f>B893+1</f>
        <v>26</v>
      </c>
      <c r="D893" s="12">
        <f>B893+20</f>
        <v>45</v>
      </c>
    </row>
    <row r="894" spans="1:8" x14ac:dyDescent="0.25">
      <c r="A894" t="s">
        <v>75</v>
      </c>
      <c r="B894" s="12">
        <f>B893+1</f>
        <v>26</v>
      </c>
      <c r="C894" s="12">
        <f>B893+20</f>
        <v>45</v>
      </c>
      <c r="D894" s="12">
        <f>C894+1</f>
        <v>46</v>
      </c>
    </row>
    <row r="895" spans="1:8" x14ac:dyDescent="0.25">
      <c r="A895" t="s">
        <v>75</v>
      </c>
      <c r="B895" s="12">
        <f>B894</f>
        <v>26</v>
      </c>
      <c r="C895" s="12">
        <f>B895+1</f>
        <v>27</v>
      </c>
      <c r="D895" s="12">
        <f>B895+20</f>
        <v>46</v>
      </c>
    </row>
    <row r="896" spans="1:8" x14ac:dyDescent="0.25">
      <c r="A896" t="s">
        <v>75</v>
      </c>
      <c r="B896" s="12">
        <f>B895+1</f>
        <v>27</v>
      </c>
      <c r="C896" s="12">
        <f>B895+20</f>
        <v>46</v>
      </c>
      <c r="D896" s="12">
        <f>C896+1</f>
        <v>47</v>
      </c>
    </row>
    <row r="897" spans="1:4" x14ac:dyDescent="0.25">
      <c r="A897" t="s">
        <v>75</v>
      </c>
      <c r="B897" s="12">
        <f>B896</f>
        <v>27</v>
      </c>
      <c r="C897" s="12">
        <f>B897+1</f>
        <v>28</v>
      </c>
      <c r="D897" s="12">
        <f>B897+20</f>
        <v>47</v>
      </c>
    </row>
    <row r="898" spans="1:4" x14ac:dyDescent="0.25">
      <c r="A898" t="s">
        <v>75</v>
      </c>
      <c r="B898" s="12">
        <f>B897+1</f>
        <v>28</v>
      </c>
      <c r="C898" s="12">
        <f>B897+20</f>
        <v>47</v>
      </c>
      <c r="D898" s="12">
        <f>C898+1</f>
        <v>48</v>
      </c>
    </row>
    <row r="899" spans="1:4" x14ac:dyDescent="0.25">
      <c r="A899" t="s">
        <v>75</v>
      </c>
      <c r="B899" s="12">
        <f>B898</f>
        <v>28</v>
      </c>
      <c r="C899" s="12">
        <f>B899+1</f>
        <v>29</v>
      </c>
      <c r="D899" s="12">
        <f>B899+20</f>
        <v>48</v>
      </c>
    </row>
    <row r="900" spans="1:4" x14ac:dyDescent="0.25">
      <c r="A900" t="s">
        <v>75</v>
      </c>
      <c r="B900" s="12">
        <f>B899+1</f>
        <v>29</v>
      </c>
      <c r="C900" s="12">
        <f>B899+20</f>
        <v>48</v>
      </c>
      <c r="D900" s="12">
        <f>C900+1</f>
        <v>49</v>
      </c>
    </row>
    <row r="901" spans="1:4" x14ac:dyDescent="0.25">
      <c r="A901" t="s">
        <v>75</v>
      </c>
      <c r="B901" s="12">
        <f>B900</f>
        <v>29</v>
      </c>
      <c r="C901" s="12">
        <f>B901+1</f>
        <v>30</v>
      </c>
      <c r="D901" s="12">
        <f>B901+20</f>
        <v>49</v>
      </c>
    </row>
    <row r="902" spans="1:4" x14ac:dyDescent="0.25">
      <c r="A902" t="s">
        <v>75</v>
      </c>
      <c r="B902" s="12">
        <f>B901+1</f>
        <v>30</v>
      </c>
      <c r="C902" s="12">
        <f>B901+20</f>
        <v>49</v>
      </c>
      <c r="D902" s="12">
        <f>C902+1</f>
        <v>50</v>
      </c>
    </row>
    <row r="903" spans="1:4" x14ac:dyDescent="0.25">
      <c r="A903" t="s">
        <v>75</v>
      </c>
      <c r="B903" s="12">
        <f>B902</f>
        <v>30</v>
      </c>
      <c r="C903" s="12">
        <f>B903+1</f>
        <v>31</v>
      </c>
      <c r="D903" s="12">
        <f>B903+20</f>
        <v>50</v>
      </c>
    </row>
    <row r="904" spans="1:4" x14ac:dyDescent="0.25">
      <c r="A904" t="s">
        <v>75</v>
      </c>
      <c r="B904" s="12">
        <f>B903+1</f>
        <v>31</v>
      </c>
      <c r="C904" s="12">
        <f>B903+20</f>
        <v>50</v>
      </c>
      <c r="D904" s="12">
        <f>C904+1</f>
        <v>51</v>
      </c>
    </row>
    <row r="905" spans="1:4" x14ac:dyDescent="0.25">
      <c r="A905" t="s">
        <v>75</v>
      </c>
      <c r="B905" s="12">
        <f>B904</f>
        <v>31</v>
      </c>
      <c r="C905" s="12">
        <f>B905+1</f>
        <v>32</v>
      </c>
      <c r="D905" s="12">
        <f>B905+20</f>
        <v>51</v>
      </c>
    </row>
    <row r="906" spans="1:4" x14ac:dyDescent="0.25">
      <c r="A906" t="s">
        <v>75</v>
      </c>
      <c r="B906" s="12">
        <f>B905+1</f>
        <v>32</v>
      </c>
      <c r="C906" s="12">
        <f>B905+20</f>
        <v>51</v>
      </c>
      <c r="D906" s="12">
        <f>C906+1</f>
        <v>52</v>
      </c>
    </row>
    <row r="907" spans="1:4" x14ac:dyDescent="0.25">
      <c r="A907" t="s">
        <v>75</v>
      </c>
      <c r="B907" s="12">
        <f>B906</f>
        <v>32</v>
      </c>
      <c r="C907" s="12">
        <f>B907+1</f>
        <v>33</v>
      </c>
      <c r="D907" s="12">
        <f>B907+20</f>
        <v>52</v>
      </c>
    </row>
    <row r="908" spans="1:4" x14ac:dyDescent="0.25">
      <c r="A908" t="s">
        <v>75</v>
      </c>
      <c r="B908" s="12">
        <f>B907+1</f>
        <v>33</v>
      </c>
      <c r="C908" s="12">
        <f>B907+20</f>
        <v>52</v>
      </c>
      <c r="D908" s="12">
        <f>C908+1</f>
        <v>53</v>
      </c>
    </row>
    <row r="909" spans="1:4" x14ac:dyDescent="0.25">
      <c r="A909" t="s">
        <v>75</v>
      </c>
      <c r="B909" s="12">
        <f>B908</f>
        <v>33</v>
      </c>
      <c r="C909" s="12">
        <f>B909+1</f>
        <v>34</v>
      </c>
      <c r="D909" s="12">
        <f>B909+20</f>
        <v>53</v>
      </c>
    </row>
    <row r="910" spans="1:4" x14ac:dyDescent="0.25">
      <c r="A910" t="s">
        <v>75</v>
      </c>
      <c r="B910" s="12">
        <f>B909+1</f>
        <v>34</v>
      </c>
      <c r="C910" s="12">
        <f>B909+20</f>
        <v>53</v>
      </c>
      <c r="D910" s="12">
        <f>C910+1</f>
        <v>54</v>
      </c>
    </row>
    <row r="911" spans="1:4" x14ac:dyDescent="0.25">
      <c r="A911" t="s">
        <v>75</v>
      </c>
      <c r="B911" s="12">
        <f>B910</f>
        <v>34</v>
      </c>
      <c r="C911" s="12">
        <f>B911+1</f>
        <v>35</v>
      </c>
      <c r="D911" s="12">
        <f>B911+20</f>
        <v>54</v>
      </c>
    </row>
    <row r="912" spans="1:4" x14ac:dyDescent="0.25">
      <c r="A912" t="s">
        <v>75</v>
      </c>
      <c r="B912" s="12">
        <f>B911+1</f>
        <v>35</v>
      </c>
      <c r="C912" s="12">
        <f>B911+20</f>
        <v>54</v>
      </c>
      <c r="D912" s="12">
        <f>C912+1</f>
        <v>55</v>
      </c>
    </row>
    <row r="913" spans="1:4" x14ac:dyDescent="0.25">
      <c r="A913" t="s">
        <v>75</v>
      </c>
      <c r="B913" s="12">
        <f>B912</f>
        <v>35</v>
      </c>
      <c r="C913" s="12">
        <f>B913+1</f>
        <v>36</v>
      </c>
      <c r="D913" s="12">
        <f>B913+20</f>
        <v>55</v>
      </c>
    </row>
    <row r="914" spans="1:4" x14ac:dyDescent="0.25">
      <c r="A914" t="s">
        <v>75</v>
      </c>
      <c r="B914" s="12">
        <f>B913+1</f>
        <v>36</v>
      </c>
      <c r="C914" s="12">
        <f>B913+20</f>
        <v>55</v>
      </c>
      <c r="D914" s="12">
        <f>C914+1</f>
        <v>56</v>
      </c>
    </row>
    <row r="915" spans="1:4" x14ac:dyDescent="0.25">
      <c r="A915" t="s">
        <v>75</v>
      </c>
      <c r="B915" s="12">
        <f>B914</f>
        <v>36</v>
      </c>
      <c r="C915" s="12">
        <f>B915+1</f>
        <v>37</v>
      </c>
      <c r="D915" s="12">
        <f>B915+20</f>
        <v>56</v>
      </c>
    </row>
    <row r="916" spans="1:4" x14ac:dyDescent="0.25">
      <c r="A916" t="s">
        <v>75</v>
      </c>
      <c r="B916" s="12">
        <f>B915+1</f>
        <v>37</v>
      </c>
      <c r="C916" s="12">
        <f>B915+20</f>
        <v>56</v>
      </c>
      <c r="D916" s="12">
        <f>C916+1</f>
        <v>57</v>
      </c>
    </row>
    <row r="917" spans="1:4" x14ac:dyDescent="0.25">
      <c r="A917" t="s">
        <v>75</v>
      </c>
      <c r="B917" s="12">
        <f>B916</f>
        <v>37</v>
      </c>
      <c r="C917" s="12">
        <f>B917+1</f>
        <v>38</v>
      </c>
      <c r="D917" s="12">
        <f>B917+20</f>
        <v>57</v>
      </c>
    </row>
    <row r="918" spans="1:4" x14ac:dyDescent="0.25">
      <c r="A918" t="s">
        <v>75</v>
      </c>
      <c r="B918" s="12">
        <f>B917+1</f>
        <v>38</v>
      </c>
      <c r="C918" s="12">
        <f>B917+20</f>
        <v>57</v>
      </c>
      <c r="D918" s="12">
        <f>C918+1</f>
        <v>58</v>
      </c>
    </row>
    <row r="919" spans="1:4" x14ac:dyDescent="0.25">
      <c r="A919" t="s">
        <v>75</v>
      </c>
      <c r="B919" s="12">
        <f>B918</f>
        <v>38</v>
      </c>
      <c r="C919" s="12">
        <f>B919+1</f>
        <v>39</v>
      </c>
      <c r="D919" s="12">
        <f>B919+20</f>
        <v>58</v>
      </c>
    </row>
    <row r="920" spans="1:4" x14ac:dyDescent="0.25">
      <c r="A920" t="s">
        <v>75</v>
      </c>
      <c r="B920" s="12">
        <f>B919+1</f>
        <v>39</v>
      </c>
      <c r="C920" s="12">
        <f>B919+20</f>
        <v>58</v>
      </c>
      <c r="D920" s="12">
        <f>C920+1</f>
        <v>59</v>
      </c>
    </row>
    <row r="921" spans="1:4" x14ac:dyDescent="0.25">
      <c r="A921" t="s">
        <v>75</v>
      </c>
      <c r="B921" s="12">
        <f>B920</f>
        <v>39</v>
      </c>
      <c r="C921" s="12">
        <f>B921+1</f>
        <v>40</v>
      </c>
      <c r="D921" s="12">
        <f>B921+20</f>
        <v>59</v>
      </c>
    </row>
    <row r="922" spans="1:4" x14ac:dyDescent="0.25">
      <c r="A922" t="s">
        <v>75</v>
      </c>
      <c r="B922" s="12">
        <f>B921+1</f>
        <v>40</v>
      </c>
      <c r="C922" s="12">
        <f>B921+20</f>
        <v>59</v>
      </c>
      <c r="D922" s="12">
        <f>C922+1</f>
        <v>60</v>
      </c>
    </row>
    <row r="923" spans="1:4" x14ac:dyDescent="0.25">
      <c r="A923" t="s">
        <v>75</v>
      </c>
      <c r="B923" s="12">
        <f>B922</f>
        <v>40</v>
      </c>
      <c r="C923" s="12">
        <f>B923+1</f>
        <v>41</v>
      </c>
      <c r="D923" s="12">
        <f>B923+20</f>
        <v>60</v>
      </c>
    </row>
    <row r="924" spans="1:4" x14ac:dyDescent="0.25">
      <c r="A924" t="s">
        <v>75</v>
      </c>
      <c r="B924" s="12">
        <f>B923+1</f>
        <v>41</v>
      </c>
      <c r="C924" s="12">
        <f>B923+20</f>
        <v>60</v>
      </c>
      <c r="D924" s="12">
        <f>C924+1</f>
        <v>61</v>
      </c>
    </row>
    <row r="925" spans="1:4" x14ac:dyDescent="0.25">
      <c r="A925" t="s">
        <v>75</v>
      </c>
      <c r="B925" s="12">
        <f>B924</f>
        <v>41</v>
      </c>
      <c r="C925" s="12">
        <f>B925+1</f>
        <v>42</v>
      </c>
      <c r="D925" s="12">
        <f>B925+20</f>
        <v>61</v>
      </c>
    </row>
    <row r="926" spans="1:4" x14ac:dyDescent="0.25">
      <c r="A926" t="s">
        <v>75</v>
      </c>
      <c r="B926" s="12">
        <f>B925+1</f>
        <v>42</v>
      </c>
      <c r="C926" s="12">
        <f>B925+20</f>
        <v>61</v>
      </c>
      <c r="D926" s="12">
        <f>C926+1</f>
        <v>62</v>
      </c>
    </row>
    <row r="927" spans="1:4" x14ac:dyDescent="0.25">
      <c r="A927" t="s">
        <v>75</v>
      </c>
      <c r="B927" s="12">
        <f>B926</f>
        <v>42</v>
      </c>
      <c r="C927" s="12">
        <f>B927+1</f>
        <v>43</v>
      </c>
      <c r="D927" s="12">
        <f>B927+20</f>
        <v>62</v>
      </c>
    </row>
    <row r="928" spans="1:4" x14ac:dyDescent="0.25">
      <c r="A928" t="s">
        <v>75</v>
      </c>
      <c r="B928" s="12">
        <f>B927+1</f>
        <v>43</v>
      </c>
      <c r="C928" s="12">
        <f>B927+20</f>
        <v>62</v>
      </c>
      <c r="D928" s="12">
        <f>C928+1</f>
        <v>63</v>
      </c>
    </row>
    <row r="929" spans="1:4" x14ac:dyDescent="0.25">
      <c r="A929" t="s">
        <v>75</v>
      </c>
      <c r="B929" s="12">
        <f>B928</f>
        <v>43</v>
      </c>
      <c r="C929" s="12">
        <f>B929+1</f>
        <v>44</v>
      </c>
      <c r="D929" s="12">
        <f>B929+20</f>
        <v>63</v>
      </c>
    </row>
    <row r="930" spans="1:4" x14ac:dyDescent="0.25">
      <c r="A930" t="s">
        <v>75</v>
      </c>
      <c r="B930" s="12">
        <f>B929+1</f>
        <v>44</v>
      </c>
      <c r="C930" s="12">
        <f>B929+20</f>
        <v>63</v>
      </c>
      <c r="D930" s="12">
        <f>C930+1</f>
        <v>64</v>
      </c>
    </row>
    <row r="931" spans="1:4" x14ac:dyDescent="0.25">
      <c r="A931" t="s">
        <v>75</v>
      </c>
      <c r="B931" s="12">
        <f>B930</f>
        <v>44</v>
      </c>
      <c r="C931" s="12">
        <f>B931+1</f>
        <v>45</v>
      </c>
      <c r="D931" s="12">
        <f>B931+20</f>
        <v>64</v>
      </c>
    </row>
    <row r="932" spans="1:4" x14ac:dyDescent="0.25">
      <c r="A932" t="s">
        <v>75</v>
      </c>
      <c r="B932" s="12">
        <f>B931+1</f>
        <v>45</v>
      </c>
      <c r="C932" s="12">
        <f>B931+20</f>
        <v>64</v>
      </c>
      <c r="D932" s="12">
        <f>C932+1</f>
        <v>65</v>
      </c>
    </row>
    <row r="933" spans="1:4" x14ac:dyDescent="0.25">
      <c r="A933" t="s">
        <v>75</v>
      </c>
      <c r="B933" s="12">
        <f>B932</f>
        <v>45</v>
      </c>
      <c r="C933" s="12">
        <f>B933+1</f>
        <v>46</v>
      </c>
      <c r="D933" s="12">
        <f>B933+20</f>
        <v>65</v>
      </c>
    </row>
    <row r="934" spans="1:4" x14ac:dyDescent="0.25">
      <c r="A934" t="s">
        <v>75</v>
      </c>
      <c r="B934" s="12">
        <f>B933+1</f>
        <v>46</v>
      </c>
      <c r="C934" s="12">
        <f>B933+20</f>
        <v>65</v>
      </c>
      <c r="D934" s="12">
        <f>C934+1</f>
        <v>66</v>
      </c>
    </row>
    <row r="935" spans="1:4" x14ac:dyDescent="0.25">
      <c r="A935" t="s">
        <v>75</v>
      </c>
      <c r="B935" s="12">
        <f>B934</f>
        <v>46</v>
      </c>
      <c r="C935" s="12">
        <f>B935+1</f>
        <v>47</v>
      </c>
      <c r="D935" s="12">
        <f>B935+20</f>
        <v>66</v>
      </c>
    </row>
    <row r="936" spans="1:4" x14ac:dyDescent="0.25">
      <c r="A936" t="s">
        <v>75</v>
      </c>
      <c r="B936" s="12">
        <f>B935+1</f>
        <v>47</v>
      </c>
      <c r="C936" s="12">
        <f>B935+20</f>
        <v>66</v>
      </c>
      <c r="D936" s="12">
        <f>C936+1</f>
        <v>67</v>
      </c>
    </row>
    <row r="937" spans="1:4" x14ac:dyDescent="0.25">
      <c r="A937" t="s">
        <v>75</v>
      </c>
      <c r="B937" s="12">
        <f>B936</f>
        <v>47</v>
      </c>
      <c r="C937" s="12">
        <f>B937+1</f>
        <v>48</v>
      </c>
      <c r="D937" s="12">
        <f>B937+20</f>
        <v>67</v>
      </c>
    </row>
    <row r="938" spans="1:4" x14ac:dyDescent="0.25">
      <c r="A938" t="s">
        <v>75</v>
      </c>
      <c r="B938" s="12">
        <f>B937+1</f>
        <v>48</v>
      </c>
      <c r="C938" s="12">
        <f>B937+20</f>
        <v>67</v>
      </c>
      <c r="D938" s="12">
        <f>C938+1</f>
        <v>68</v>
      </c>
    </row>
    <row r="939" spans="1:4" x14ac:dyDescent="0.25">
      <c r="A939" t="s">
        <v>75</v>
      </c>
      <c r="B939" s="12">
        <f>B938</f>
        <v>48</v>
      </c>
      <c r="C939" s="12">
        <f>B939+1</f>
        <v>49</v>
      </c>
      <c r="D939" s="12">
        <f>B939+20</f>
        <v>68</v>
      </c>
    </row>
    <row r="940" spans="1:4" x14ac:dyDescent="0.25">
      <c r="A940" t="s">
        <v>75</v>
      </c>
      <c r="B940" s="12">
        <f>B939+1</f>
        <v>49</v>
      </c>
      <c r="C940" s="12">
        <f>B939+20</f>
        <v>68</v>
      </c>
      <c r="D940" s="12">
        <f>C940+1</f>
        <v>69</v>
      </c>
    </row>
    <row r="941" spans="1:4" x14ac:dyDescent="0.25">
      <c r="A941" t="s">
        <v>75</v>
      </c>
      <c r="B941" s="12">
        <f>B940</f>
        <v>49</v>
      </c>
      <c r="C941" s="12">
        <f>B941+1</f>
        <v>50</v>
      </c>
      <c r="D941" s="12">
        <f>B941+20</f>
        <v>69</v>
      </c>
    </row>
    <row r="942" spans="1:4" x14ac:dyDescent="0.25">
      <c r="A942" t="s">
        <v>75</v>
      </c>
      <c r="B942" s="12">
        <f>B941+1</f>
        <v>50</v>
      </c>
      <c r="C942" s="12">
        <f>B941+20</f>
        <v>69</v>
      </c>
      <c r="D942" s="12">
        <f>C942+1</f>
        <v>70</v>
      </c>
    </row>
    <row r="943" spans="1:4" x14ac:dyDescent="0.25">
      <c r="A943" t="s">
        <v>75</v>
      </c>
      <c r="B943" s="12">
        <f>B942</f>
        <v>50</v>
      </c>
      <c r="C943" s="12">
        <f>B943+1</f>
        <v>51</v>
      </c>
      <c r="D943" s="12">
        <f>B943+20</f>
        <v>70</v>
      </c>
    </row>
    <row r="944" spans="1:4" x14ac:dyDescent="0.25">
      <c r="A944" t="s">
        <v>75</v>
      </c>
      <c r="B944" s="12">
        <f>B943+1</f>
        <v>51</v>
      </c>
      <c r="C944" s="12">
        <f>B943+20</f>
        <v>70</v>
      </c>
      <c r="D944" s="12">
        <f>C944+1</f>
        <v>71</v>
      </c>
    </row>
    <row r="945" spans="1:4" x14ac:dyDescent="0.25">
      <c r="A945" t="s">
        <v>75</v>
      </c>
      <c r="B945" s="12">
        <f>B944</f>
        <v>51</v>
      </c>
      <c r="C945" s="12">
        <f>B945+1</f>
        <v>52</v>
      </c>
      <c r="D945" s="12">
        <f>B945+20</f>
        <v>71</v>
      </c>
    </row>
    <row r="946" spans="1:4" x14ac:dyDescent="0.25">
      <c r="A946" t="s">
        <v>75</v>
      </c>
      <c r="B946" s="12">
        <f>B945+1</f>
        <v>52</v>
      </c>
      <c r="C946" s="12">
        <f>B945+20</f>
        <v>71</v>
      </c>
      <c r="D946" s="12">
        <f>C946+1</f>
        <v>72</v>
      </c>
    </row>
    <row r="947" spans="1:4" x14ac:dyDescent="0.25">
      <c r="A947" t="s">
        <v>75</v>
      </c>
      <c r="B947" s="12">
        <f>B946</f>
        <v>52</v>
      </c>
      <c r="C947" s="12">
        <f>B947+1</f>
        <v>53</v>
      </c>
      <c r="D947" s="12">
        <f>B947+20</f>
        <v>72</v>
      </c>
    </row>
    <row r="948" spans="1:4" x14ac:dyDescent="0.25">
      <c r="A948" t="s">
        <v>75</v>
      </c>
      <c r="B948" s="12">
        <f>B947+1</f>
        <v>53</v>
      </c>
      <c r="C948" s="12">
        <f>B947+20</f>
        <v>72</v>
      </c>
      <c r="D948" s="12">
        <f>C948+1</f>
        <v>73</v>
      </c>
    </row>
    <row r="949" spans="1:4" x14ac:dyDescent="0.25">
      <c r="A949" t="s">
        <v>75</v>
      </c>
      <c r="B949" s="12">
        <f>B948</f>
        <v>53</v>
      </c>
      <c r="C949" s="12">
        <f>B949+1</f>
        <v>54</v>
      </c>
      <c r="D949" s="12">
        <f>B949+20</f>
        <v>73</v>
      </c>
    </row>
    <row r="950" spans="1:4" x14ac:dyDescent="0.25">
      <c r="A950" t="s">
        <v>75</v>
      </c>
      <c r="B950" s="12">
        <f>B949+1</f>
        <v>54</v>
      </c>
      <c r="C950" s="12">
        <f>B949+20</f>
        <v>73</v>
      </c>
      <c r="D950" s="12">
        <f>C950+1</f>
        <v>74</v>
      </c>
    </row>
    <row r="951" spans="1:4" x14ac:dyDescent="0.25">
      <c r="A951" t="s">
        <v>75</v>
      </c>
      <c r="B951" s="12">
        <f>B950</f>
        <v>54</v>
      </c>
      <c r="C951" s="12">
        <f>B951+1</f>
        <v>55</v>
      </c>
      <c r="D951" s="12">
        <f>B951+20</f>
        <v>74</v>
      </c>
    </row>
    <row r="952" spans="1:4" x14ac:dyDescent="0.25">
      <c r="A952" t="s">
        <v>75</v>
      </c>
      <c r="B952" s="12">
        <f>B951+1</f>
        <v>55</v>
      </c>
      <c r="C952" s="12">
        <f>B951+20</f>
        <v>74</v>
      </c>
      <c r="D952" s="12">
        <f>C952+1</f>
        <v>75</v>
      </c>
    </row>
    <row r="953" spans="1:4" x14ac:dyDescent="0.25">
      <c r="A953" t="s">
        <v>75</v>
      </c>
      <c r="B953" s="12">
        <f>B952</f>
        <v>55</v>
      </c>
      <c r="C953" s="12">
        <f>B953+1</f>
        <v>56</v>
      </c>
      <c r="D953" s="12">
        <f>B953+20</f>
        <v>75</v>
      </c>
    </row>
    <row r="954" spans="1:4" x14ac:dyDescent="0.25">
      <c r="A954" t="s">
        <v>75</v>
      </c>
      <c r="B954" s="12">
        <f>B953+1</f>
        <v>56</v>
      </c>
      <c r="C954" s="12">
        <f>B953+20</f>
        <v>75</v>
      </c>
      <c r="D954" s="12">
        <f>C954+1</f>
        <v>76</v>
      </c>
    </row>
    <row r="955" spans="1:4" x14ac:dyDescent="0.25">
      <c r="A955" t="s">
        <v>75</v>
      </c>
      <c r="B955" s="12">
        <f>B954</f>
        <v>56</v>
      </c>
      <c r="C955" s="12">
        <f>B955+1</f>
        <v>57</v>
      </c>
      <c r="D955" s="12">
        <f>B955+20</f>
        <v>76</v>
      </c>
    </row>
    <row r="956" spans="1:4" x14ac:dyDescent="0.25">
      <c r="A956" t="s">
        <v>75</v>
      </c>
      <c r="B956" s="12">
        <f>B955+1</f>
        <v>57</v>
      </c>
      <c r="C956" s="12">
        <f>B955+20</f>
        <v>76</v>
      </c>
      <c r="D956" s="12">
        <f>C956+1</f>
        <v>77</v>
      </c>
    </row>
    <row r="957" spans="1:4" x14ac:dyDescent="0.25">
      <c r="A957" t="s">
        <v>75</v>
      </c>
      <c r="B957" s="12">
        <f>B956</f>
        <v>57</v>
      </c>
      <c r="C957" s="12">
        <f>B957+1</f>
        <v>58</v>
      </c>
      <c r="D957" s="12">
        <f>B957+20</f>
        <v>77</v>
      </c>
    </row>
    <row r="958" spans="1:4" x14ac:dyDescent="0.25">
      <c r="A958" t="s">
        <v>75</v>
      </c>
      <c r="B958" s="12">
        <f>B957+1</f>
        <v>58</v>
      </c>
      <c r="C958" s="12">
        <f>B957+20</f>
        <v>77</v>
      </c>
      <c r="D958" s="12">
        <f>C958+1</f>
        <v>78</v>
      </c>
    </row>
    <row r="959" spans="1:4" x14ac:dyDescent="0.25">
      <c r="A959" t="s">
        <v>75</v>
      </c>
      <c r="B959" s="12">
        <f>B958</f>
        <v>58</v>
      </c>
      <c r="C959" s="12">
        <f>B959+1</f>
        <v>59</v>
      </c>
      <c r="D959" s="12">
        <f>B959+20</f>
        <v>78</v>
      </c>
    </row>
    <row r="960" spans="1:4" x14ac:dyDescent="0.25">
      <c r="A960" t="s">
        <v>75</v>
      </c>
      <c r="B960" s="12">
        <f>B959+1</f>
        <v>59</v>
      </c>
      <c r="C960" s="12">
        <f>B959+20</f>
        <v>78</v>
      </c>
      <c r="D960" s="12">
        <f>C960+1</f>
        <v>79</v>
      </c>
    </row>
    <row r="961" spans="1:4" x14ac:dyDescent="0.25">
      <c r="A961" t="s">
        <v>75</v>
      </c>
      <c r="B961" s="12">
        <f>B960</f>
        <v>59</v>
      </c>
      <c r="C961" s="12">
        <f>B961+1</f>
        <v>60</v>
      </c>
      <c r="D961" s="12">
        <f>B961+20</f>
        <v>79</v>
      </c>
    </row>
    <row r="962" spans="1:4" x14ac:dyDescent="0.25">
      <c r="A962" t="s">
        <v>75</v>
      </c>
      <c r="B962" s="12">
        <f>B961+1</f>
        <v>60</v>
      </c>
      <c r="C962" s="12">
        <f>B961+20</f>
        <v>79</v>
      </c>
      <c r="D962" s="12">
        <f>C962+1</f>
        <v>80</v>
      </c>
    </row>
    <row r="963" spans="1:4" x14ac:dyDescent="0.25">
      <c r="A963" t="s">
        <v>75</v>
      </c>
      <c r="B963" s="12">
        <f>B962</f>
        <v>60</v>
      </c>
      <c r="C963" s="12">
        <f>B963+1</f>
        <v>61</v>
      </c>
      <c r="D963" s="12">
        <f>B963+20</f>
        <v>80</v>
      </c>
    </row>
    <row r="964" spans="1:4" x14ac:dyDescent="0.25">
      <c r="A964" t="s">
        <v>75</v>
      </c>
      <c r="B964" s="12">
        <f>B963+1</f>
        <v>61</v>
      </c>
      <c r="C964" s="12">
        <f>B963+20</f>
        <v>80</v>
      </c>
      <c r="D964" s="12">
        <f>C964+1</f>
        <v>81</v>
      </c>
    </row>
    <row r="965" spans="1:4" x14ac:dyDescent="0.25">
      <c r="A965" t="s">
        <v>75</v>
      </c>
      <c r="B965" s="12">
        <f>B964</f>
        <v>61</v>
      </c>
      <c r="C965" s="12">
        <f>B965+1</f>
        <v>62</v>
      </c>
      <c r="D965" s="12">
        <f>B965+20</f>
        <v>81</v>
      </c>
    </row>
    <row r="966" spans="1:4" x14ac:dyDescent="0.25">
      <c r="A966" t="s">
        <v>75</v>
      </c>
      <c r="B966" s="12">
        <f>B965+1</f>
        <v>62</v>
      </c>
      <c r="C966" s="12">
        <f>B965+20</f>
        <v>81</v>
      </c>
      <c r="D966" s="12">
        <f>C966+1</f>
        <v>82</v>
      </c>
    </row>
    <row r="967" spans="1:4" x14ac:dyDescent="0.25">
      <c r="A967" t="s">
        <v>75</v>
      </c>
      <c r="B967" s="12">
        <f>B966</f>
        <v>62</v>
      </c>
      <c r="C967" s="12">
        <f>B967+1</f>
        <v>63</v>
      </c>
      <c r="D967" s="12">
        <f>B967+20</f>
        <v>82</v>
      </c>
    </row>
    <row r="968" spans="1:4" x14ac:dyDescent="0.25">
      <c r="A968" t="s">
        <v>75</v>
      </c>
      <c r="B968" s="12">
        <f>B967+1</f>
        <v>63</v>
      </c>
      <c r="C968" s="12">
        <f>B967+20</f>
        <v>82</v>
      </c>
      <c r="D968" s="12">
        <f>C968+1</f>
        <v>83</v>
      </c>
    </row>
    <row r="969" spans="1:4" x14ac:dyDescent="0.25">
      <c r="A969" t="s">
        <v>75</v>
      </c>
      <c r="B969" s="12">
        <f>B968</f>
        <v>63</v>
      </c>
      <c r="C969" s="12">
        <f>B969+1</f>
        <v>64</v>
      </c>
      <c r="D969" s="12">
        <f>B969+20</f>
        <v>83</v>
      </c>
    </row>
    <row r="970" spans="1:4" x14ac:dyDescent="0.25">
      <c r="A970" t="s">
        <v>75</v>
      </c>
      <c r="B970" s="12">
        <f>B969+1</f>
        <v>64</v>
      </c>
      <c r="C970" s="12">
        <f>B969+20</f>
        <v>83</v>
      </c>
      <c r="D970" s="12">
        <f>C970+1</f>
        <v>84</v>
      </c>
    </row>
    <row r="971" spans="1:4" x14ac:dyDescent="0.25">
      <c r="A971" t="s">
        <v>75</v>
      </c>
      <c r="B971" s="12">
        <f>B970</f>
        <v>64</v>
      </c>
      <c r="C971" s="12">
        <f>B971+1</f>
        <v>65</v>
      </c>
      <c r="D971" s="12">
        <f>B971+20</f>
        <v>84</v>
      </c>
    </row>
    <row r="972" spans="1:4" x14ac:dyDescent="0.25">
      <c r="A972" t="s">
        <v>75</v>
      </c>
      <c r="B972" s="12">
        <f>B971+1</f>
        <v>65</v>
      </c>
      <c r="C972" s="12">
        <f>B971+20</f>
        <v>84</v>
      </c>
      <c r="D972" s="12">
        <f>C972+1</f>
        <v>85</v>
      </c>
    </row>
    <row r="973" spans="1:4" x14ac:dyDescent="0.25">
      <c r="A973" t="s">
        <v>75</v>
      </c>
      <c r="B973" s="12">
        <f>B972</f>
        <v>65</v>
      </c>
      <c r="C973" s="12">
        <f>B973+1</f>
        <v>66</v>
      </c>
      <c r="D973" s="12">
        <f>B973+20</f>
        <v>85</v>
      </c>
    </row>
    <row r="974" spans="1:4" x14ac:dyDescent="0.25">
      <c r="A974" t="s">
        <v>75</v>
      </c>
      <c r="B974" s="12">
        <f>B973+1</f>
        <v>66</v>
      </c>
      <c r="C974" s="12">
        <f>B973+20</f>
        <v>85</v>
      </c>
      <c r="D974" s="12">
        <f>C974+1</f>
        <v>86</v>
      </c>
    </row>
    <row r="975" spans="1:4" x14ac:dyDescent="0.25">
      <c r="A975" t="s">
        <v>75</v>
      </c>
      <c r="B975" s="12">
        <f>B974</f>
        <v>66</v>
      </c>
      <c r="C975" s="12">
        <f>B975+1</f>
        <v>67</v>
      </c>
      <c r="D975" s="12">
        <f>B975+20</f>
        <v>86</v>
      </c>
    </row>
    <row r="976" spans="1:4" x14ac:dyDescent="0.25">
      <c r="A976" t="s">
        <v>75</v>
      </c>
      <c r="B976" s="12">
        <f>B975+1</f>
        <v>67</v>
      </c>
      <c r="C976" s="12">
        <f>B975+20</f>
        <v>86</v>
      </c>
      <c r="D976" s="12">
        <f>C976+1</f>
        <v>87</v>
      </c>
    </row>
    <row r="977" spans="1:4" x14ac:dyDescent="0.25">
      <c r="A977" t="s">
        <v>75</v>
      </c>
      <c r="B977" s="12">
        <f>B976</f>
        <v>67</v>
      </c>
      <c r="C977" s="12">
        <f>B977+1</f>
        <v>68</v>
      </c>
      <c r="D977" s="12">
        <f>B977+20</f>
        <v>87</v>
      </c>
    </row>
    <row r="978" spans="1:4" x14ac:dyDescent="0.25">
      <c r="A978" t="s">
        <v>75</v>
      </c>
      <c r="B978" s="12">
        <f>B977+1</f>
        <v>68</v>
      </c>
      <c r="C978" s="12">
        <f>B977+20</f>
        <v>87</v>
      </c>
      <c r="D978" s="12">
        <f>C978+1</f>
        <v>88</v>
      </c>
    </row>
    <row r="979" spans="1:4" x14ac:dyDescent="0.25">
      <c r="A979" t="s">
        <v>75</v>
      </c>
      <c r="B979" s="12">
        <f>B978</f>
        <v>68</v>
      </c>
      <c r="C979" s="12">
        <f>B979+1</f>
        <v>69</v>
      </c>
      <c r="D979" s="12">
        <f>B979+20</f>
        <v>88</v>
      </c>
    </row>
    <row r="980" spans="1:4" x14ac:dyDescent="0.25">
      <c r="A980" t="s">
        <v>75</v>
      </c>
      <c r="B980" s="12">
        <f>B979+1</f>
        <v>69</v>
      </c>
      <c r="C980" s="12">
        <f>B979+20</f>
        <v>88</v>
      </c>
      <c r="D980" s="12">
        <f>C980+1</f>
        <v>89</v>
      </c>
    </row>
    <row r="981" spans="1:4" x14ac:dyDescent="0.25">
      <c r="A981" t="s">
        <v>75</v>
      </c>
      <c r="B981" s="12">
        <f>B980</f>
        <v>69</v>
      </c>
      <c r="C981" s="12">
        <f>B981+1</f>
        <v>70</v>
      </c>
      <c r="D981" s="12">
        <f>B981+20</f>
        <v>89</v>
      </c>
    </row>
    <row r="982" spans="1:4" x14ac:dyDescent="0.25">
      <c r="A982" t="s">
        <v>75</v>
      </c>
      <c r="B982" s="12">
        <f>B981+1</f>
        <v>70</v>
      </c>
      <c r="C982" s="12">
        <f>B981+20</f>
        <v>89</v>
      </c>
      <c r="D982" s="12">
        <f>C982+1</f>
        <v>90</v>
      </c>
    </row>
    <row r="983" spans="1:4" x14ac:dyDescent="0.25">
      <c r="A983" t="s">
        <v>75</v>
      </c>
      <c r="B983" s="12">
        <f>B982</f>
        <v>70</v>
      </c>
      <c r="C983" s="12">
        <f>B983+1</f>
        <v>71</v>
      </c>
      <c r="D983" s="12">
        <f>B983+20</f>
        <v>90</v>
      </c>
    </row>
    <row r="984" spans="1:4" x14ac:dyDescent="0.25">
      <c r="A984" t="s">
        <v>75</v>
      </c>
      <c r="B984" s="12">
        <f>B983+1</f>
        <v>71</v>
      </c>
      <c r="C984" s="12">
        <f>B983+20</f>
        <v>90</v>
      </c>
      <c r="D984" s="12">
        <f>C984+1</f>
        <v>91</v>
      </c>
    </row>
    <row r="985" spans="1:4" x14ac:dyDescent="0.25">
      <c r="A985" t="s">
        <v>75</v>
      </c>
      <c r="B985" s="12">
        <f>B984</f>
        <v>71</v>
      </c>
      <c r="C985" s="12">
        <f>B985+1</f>
        <v>72</v>
      </c>
      <c r="D985" s="12">
        <f>B985+20</f>
        <v>91</v>
      </c>
    </row>
    <row r="986" spans="1:4" x14ac:dyDescent="0.25">
      <c r="A986" t="s">
        <v>75</v>
      </c>
      <c r="B986" s="12">
        <f>B985+1</f>
        <v>72</v>
      </c>
      <c r="C986" s="12">
        <f>B985+20</f>
        <v>91</v>
      </c>
      <c r="D986" s="12">
        <f>C986+1</f>
        <v>92</v>
      </c>
    </row>
    <row r="987" spans="1:4" x14ac:dyDescent="0.25">
      <c r="A987" t="s">
        <v>75</v>
      </c>
      <c r="B987" s="12">
        <f>B986</f>
        <v>72</v>
      </c>
      <c r="C987" s="12">
        <f>B987+1</f>
        <v>73</v>
      </c>
      <c r="D987" s="12">
        <f>B987+20</f>
        <v>92</v>
      </c>
    </row>
    <row r="988" spans="1:4" x14ac:dyDescent="0.25">
      <c r="A988" t="s">
        <v>75</v>
      </c>
      <c r="B988" s="12">
        <f>B987+1</f>
        <v>73</v>
      </c>
      <c r="C988" s="12">
        <f>B987+20</f>
        <v>92</v>
      </c>
      <c r="D988" s="12">
        <f>C988+1</f>
        <v>93</v>
      </c>
    </row>
    <row r="989" spans="1:4" x14ac:dyDescent="0.25">
      <c r="A989" t="s">
        <v>75</v>
      </c>
      <c r="B989" s="12">
        <f>B988</f>
        <v>73</v>
      </c>
      <c r="C989" s="12">
        <f>B989+1</f>
        <v>74</v>
      </c>
      <c r="D989" s="12">
        <f>B989+20</f>
        <v>93</v>
      </c>
    </row>
    <row r="990" spans="1:4" x14ac:dyDescent="0.25">
      <c r="A990" t="s">
        <v>75</v>
      </c>
      <c r="B990" s="12">
        <f>B989+1</f>
        <v>74</v>
      </c>
      <c r="C990" s="12">
        <f>B989+20</f>
        <v>93</v>
      </c>
      <c r="D990" s="12">
        <f>C990+1</f>
        <v>94</v>
      </c>
    </row>
    <row r="991" spans="1:4" x14ac:dyDescent="0.25">
      <c r="A991" t="s">
        <v>75</v>
      </c>
      <c r="B991" s="12">
        <f>B990</f>
        <v>74</v>
      </c>
      <c r="C991" s="12">
        <f>B991+1</f>
        <v>75</v>
      </c>
      <c r="D991" s="12">
        <f>B991+20</f>
        <v>94</v>
      </c>
    </row>
    <row r="992" spans="1:4" x14ac:dyDescent="0.25">
      <c r="A992" t="s">
        <v>75</v>
      </c>
      <c r="B992" s="12">
        <f>B991+1</f>
        <v>75</v>
      </c>
      <c r="C992" s="12">
        <f>B991+20</f>
        <v>94</v>
      </c>
      <c r="D992" s="12">
        <f>C992+1</f>
        <v>95</v>
      </c>
    </row>
    <row r="993" spans="1:4" x14ac:dyDescent="0.25">
      <c r="A993" t="s">
        <v>75</v>
      </c>
      <c r="B993" s="12">
        <f>B992</f>
        <v>75</v>
      </c>
      <c r="C993" s="12">
        <f>B993+1</f>
        <v>76</v>
      </c>
      <c r="D993" s="12">
        <f>B993+20</f>
        <v>95</v>
      </c>
    </row>
    <row r="994" spans="1:4" x14ac:dyDescent="0.25">
      <c r="A994" t="s">
        <v>75</v>
      </c>
      <c r="B994" s="12">
        <f>B993+1</f>
        <v>76</v>
      </c>
      <c r="C994" s="12">
        <f>B993+20</f>
        <v>95</v>
      </c>
      <c r="D994" s="12">
        <f>C994+1</f>
        <v>96</v>
      </c>
    </row>
    <row r="995" spans="1:4" x14ac:dyDescent="0.25">
      <c r="A995" t="s">
        <v>75</v>
      </c>
      <c r="B995" s="12">
        <f>B994</f>
        <v>76</v>
      </c>
      <c r="C995" s="12">
        <f>B995+1</f>
        <v>77</v>
      </c>
      <c r="D995" s="12">
        <f>B995+20</f>
        <v>96</v>
      </c>
    </row>
    <row r="996" spans="1:4" x14ac:dyDescent="0.25">
      <c r="A996" t="s">
        <v>75</v>
      </c>
      <c r="B996" s="12">
        <f>B995+1</f>
        <v>77</v>
      </c>
      <c r="C996" s="12">
        <f>B995+20</f>
        <v>96</v>
      </c>
      <c r="D996" s="12">
        <f>C996+1</f>
        <v>97</v>
      </c>
    </row>
    <row r="997" spans="1:4" x14ac:dyDescent="0.25">
      <c r="A997" t="s">
        <v>75</v>
      </c>
      <c r="B997" s="12">
        <f>B996</f>
        <v>77</v>
      </c>
      <c r="C997" s="12">
        <f>B997+1</f>
        <v>78</v>
      </c>
      <c r="D997" s="12">
        <f>B997+20</f>
        <v>97</v>
      </c>
    </row>
    <row r="998" spans="1:4" x14ac:dyDescent="0.25">
      <c r="A998" t="s">
        <v>75</v>
      </c>
      <c r="B998" s="12">
        <f>B997+1</f>
        <v>78</v>
      </c>
      <c r="C998" s="12">
        <f>B997+20</f>
        <v>97</v>
      </c>
      <c r="D998" s="12">
        <f>C998+1</f>
        <v>98</v>
      </c>
    </row>
    <row r="999" spans="1:4" x14ac:dyDescent="0.25">
      <c r="A999" t="s">
        <v>75</v>
      </c>
      <c r="B999" s="12">
        <f>B998</f>
        <v>78</v>
      </c>
      <c r="C999" s="12">
        <f>B999+1</f>
        <v>79</v>
      </c>
      <c r="D999" s="12">
        <f>B999+20</f>
        <v>98</v>
      </c>
    </row>
    <row r="1000" spans="1:4" x14ac:dyDescent="0.25">
      <c r="A1000" t="s">
        <v>75</v>
      </c>
      <c r="B1000" s="12">
        <f>B999+1</f>
        <v>79</v>
      </c>
      <c r="C1000" s="12">
        <f>B999+20</f>
        <v>98</v>
      </c>
      <c r="D1000" s="12">
        <f>C1000+1</f>
        <v>99</v>
      </c>
    </row>
    <row r="1001" spans="1:4" x14ac:dyDescent="0.25">
      <c r="A1001" t="s">
        <v>75</v>
      </c>
      <c r="B1001" s="12">
        <f>B1000</f>
        <v>79</v>
      </c>
      <c r="C1001" s="12">
        <f>B1001+1</f>
        <v>80</v>
      </c>
      <c r="D1001" s="12">
        <f>B1001+20</f>
        <v>99</v>
      </c>
    </row>
    <row r="1002" spans="1:4" x14ac:dyDescent="0.25">
      <c r="A1002" t="s">
        <v>75</v>
      </c>
      <c r="B1002" s="12">
        <f>B1001+1</f>
        <v>80</v>
      </c>
      <c r="C1002" s="12">
        <f>B1001+20</f>
        <v>99</v>
      </c>
      <c r="D1002" s="12">
        <f>C1002+1</f>
        <v>100</v>
      </c>
    </row>
    <row r="1003" spans="1:4" x14ac:dyDescent="0.25">
      <c r="A1003" t="s">
        <v>75</v>
      </c>
      <c r="B1003" s="12">
        <f>B1002</f>
        <v>80</v>
      </c>
      <c r="C1003" s="12">
        <f>B1003+1</f>
        <v>81</v>
      </c>
      <c r="D1003" s="12">
        <f>B1003+20</f>
        <v>100</v>
      </c>
    </row>
    <row r="1004" spans="1:4" x14ac:dyDescent="0.25">
      <c r="A1004" t="s">
        <v>75</v>
      </c>
      <c r="B1004" s="12">
        <f>B1003+1</f>
        <v>81</v>
      </c>
      <c r="C1004" s="12">
        <f>B1003+20</f>
        <v>100</v>
      </c>
      <c r="D1004" s="12">
        <f>C1004+1</f>
        <v>101</v>
      </c>
    </row>
    <row r="1005" spans="1:4" x14ac:dyDescent="0.25">
      <c r="A1005" t="s">
        <v>75</v>
      </c>
      <c r="B1005" s="12">
        <f>B1004</f>
        <v>81</v>
      </c>
      <c r="C1005" s="12">
        <f>B1005+1</f>
        <v>82</v>
      </c>
      <c r="D1005" s="12">
        <f>B1005+20</f>
        <v>101</v>
      </c>
    </row>
    <row r="1006" spans="1:4" x14ac:dyDescent="0.25">
      <c r="A1006" t="s">
        <v>75</v>
      </c>
      <c r="B1006" s="12">
        <f>B1005+1</f>
        <v>82</v>
      </c>
      <c r="C1006" s="12">
        <f>B1005+20</f>
        <v>101</v>
      </c>
      <c r="D1006" s="12">
        <f>C1006+1</f>
        <v>102</v>
      </c>
    </row>
    <row r="1007" spans="1:4" x14ac:dyDescent="0.25">
      <c r="A1007" t="s">
        <v>75</v>
      </c>
      <c r="B1007" s="12">
        <f>B1006</f>
        <v>82</v>
      </c>
      <c r="C1007" s="12">
        <f>B1007+1</f>
        <v>83</v>
      </c>
      <c r="D1007" s="12">
        <f>B1007+20</f>
        <v>102</v>
      </c>
    </row>
    <row r="1008" spans="1:4" x14ac:dyDescent="0.25">
      <c r="A1008" t="s">
        <v>75</v>
      </c>
      <c r="B1008" s="12">
        <f>B1007+1</f>
        <v>83</v>
      </c>
      <c r="C1008" s="12">
        <f>B1007+20</f>
        <v>102</v>
      </c>
      <c r="D1008" s="12">
        <f>C1008+1</f>
        <v>103</v>
      </c>
    </row>
    <row r="1009" spans="1:4" x14ac:dyDescent="0.25">
      <c r="A1009" t="s">
        <v>75</v>
      </c>
      <c r="B1009" s="12">
        <f>B1008</f>
        <v>83</v>
      </c>
      <c r="C1009" s="12">
        <f>B1009+1</f>
        <v>84</v>
      </c>
      <c r="D1009" s="12">
        <f>B1009+20</f>
        <v>103</v>
      </c>
    </row>
    <row r="1010" spans="1:4" x14ac:dyDescent="0.25">
      <c r="A1010" t="s">
        <v>75</v>
      </c>
      <c r="B1010" s="12">
        <f>B1009+1</f>
        <v>84</v>
      </c>
      <c r="C1010" s="12">
        <f>B1009+20</f>
        <v>103</v>
      </c>
      <c r="D1010" s="12">
        <f>C1010+1</f>
        <v>104</v>
      </c>
    </row>
    <row r="1011" spans="1:4" x14ac:dyDescent="0.25">
      <c r="A1011" t="s">
        <v>75</v>
      </c>
      <c r="B1011" s="12">
        <f>B1010</f>
        <v>84</v>
      </c>
      <c r="C1011" s="12">
        <f>B1011+1</f>
        <v>85</v>
      </c>
      <c r="D1011" s="12">
        <f>B1011+20</f>
        <v>104</v>
      </c>
    </row>
    <row r="1012" spans="1:4" x14ac:dyDescent="0.25">
      <c r="A1012" t="s">
        <v>75</v>
      </c>
      <c r="B1012" s="12">
        <f>B1011+1</f>
        <v>85</v>
      </c>
      <c r="C1012" s="12">
        <f>B1011+20</f>
        <v>104</v>
      </c>
      <c r="D1012" s="12">
        <f>C1012+1</f>
        <v>105</v>
      </c>
    </row>
    <row r="1013" spans="1:4" x14ac:dyDescent="0.25">
      <c r="A1013" t="s">
        <v>75</v>
      </c>
      <c r="B1013" s="12">
        <f>B1012</f>
        <v>85</v>
      </c>
      <c r="C1013" s="12">
        <f>B1013+1</f>
        <v>86</v>
      </c>
      <c r="D1013" s="12">
        <f>B1013+20</f>
        <v>105</v>
      </c>
    </row>
    <row r="1014" spans="1:4" x14ac:dyDescent="0.25">
      <c r="A1014" t="s">
        <v>75</v>
      </c>
      <c r="B1014" s="12">
        <f>B1013+1</f>
        <v>86</v>
      </c>
      <c r="C1014" s="12">
        <f>B1013+20</f>
        <v>105</v>
      </c>
      <c r="D1014" s="12">
        <f>C1014+1</f>
        <v>106</v>
      </c>
    </row>
    <row r="1015" spans="1:4" x14ac:dyDescent="0.25">
      <c r="A1015" t="s">
        <v>75</v>
      </c>
      <c r="B1015" s="12">
        <f>B1014</f>
        <v>86</v>
      </c>
      <c r="C1015" s="12">
        <f>B1015+1</f>
        <v>87</v>
      </c>
      <c r="D1015" s="12">
        <f>B1015+20</f>
        <v>106</v>
      </c>
    </row>
    <row r="1016" spans="1:4" x14ac:dyDescent="0.25">
      <c r="A1016" t="s">
        <v>75</v>
      </c>
      <c r="B1016" s="12">
        <f>B1015+1</f>
        <v>87</v>
      </c>
      <c r="C1016" s="12">
        <f>B1015+20</f>
        <v>106</v>
      </c>
      <c r="D1016" s="12">
        <f>C1016+1</f>
        <v>107</v>
      </c>
    </row>
    <row r="1017" spans="1:4" x14ac:dyDescent="0.25">
      <c r="A1017" t="s">
        <v>75</v>
      </c>
      <c r="B1017" s="12">
        <f>B1016</f>
        <v>87</v>
      </c>
      <c r="C1017" s="12">
        <f>B1017+1</f>
        <v>88</v>
      </c>
      <c r="D1017" s="12">
        <f>B1017+20</f>
        <v>107</v>
      </c>
    </row>
    <row r="1018" spans="1:4" x14ac:dyDescent="0.25">
      <c r="A1018" t="s">
        <v>75</v>
      </c>
      <c r="B1018" s="12">
        <f>B1017+1</f>
        <v>88</v>
      </c>
      <c r="C1018" s="12">
        <f>B1017+20</f>
        <v>107</v>
      </c>
      <c r="D1018" s="12">
        <f>C1018+1</f>
        <v>108</v>
      </c>
    </row>
    <row r="1019" spans="1:4" x14ac:dyDescent="0.25">
      <c r="A1019" t="s">
        <v>75</v>
      </c>
      <c r="B1019" s="12">
        <f>B1018</f>
        <v>88</v>
      </c>
      <c r="C1019" s="12">
        <f>B1019+1</f>
        <v>89</v>
      </c>
      <c r="D1019" s="12">
        <f>B1019+20</f>
        <v>108</v>
      </c>
    </row>
    <row r="1020" spans="1:4" x14ac:dyDescent="0.25">
      <c r="A1020" t="s">
        <v>75</v>
      </c>
      <c r="B1020" s="12">
        <f>B1019+1</f>
        <v>89</v>
      </c>
      <c r="C1020" s="12">
        <f>B1019+20</f>
        <v>108</v>
      </c>
      <c r="D1020" s="12">
        <f>C1020+1</f>
        <v>109</v>
      </c>
    </row>
    <row r="1021" spans="1:4" x14ac:dyDescent="0.25">
      <c r="A1021" t="s">
        <v>75</v>
      </c>
      <c r="B1021" s="12">
        <f>B1020</f>
        <v>89</v>
      </c>
      <c r="C1021" s="12">
        <f>B1021+1</f>
        <v>90</v>
      </c>
      <c r="D1021" s="12">
        <f>B1021+20</f>
        <v>109</v>
      </c>
    </row>
    <row r="1022" spans="1:4" x14ac:dyDescent="0.25">
      <c r="A1022" t="s">
        <v>75</v>
      </c>
      <c r="B1022" s="12">
        <f>B1021+1</f>
        <v>90</v>
      </c>
      <c r="C1022" s="12">
        <f>B1021+20</f>
        <v>109</v>
      </c>
      <c r="D1022" s="12">
        <f>C1022+1</f>
        <v>110</v>
      </c>
    </row>
    <row r="1023" spans="1:4" x14ac:dyDescent="0.25">
      <c r="A1023" t="s">
        <v>75</v>
      </c>
      <c r="B1023" s="12">
        <f>B1022</f>
        <v>90</v>
      </c>
      <c r="C1023" s="12">
        <f>B1023+1</f>
        <v>91</v>
      </c>
      <c r="D1023" s="12">
        <f>B1023+20</f>
        <v>110</v>
      </c>
    </row>
    <row r="1024" spans="1:4" x14ac:dyDescent="0.25">
      <c r="A1024" t="s">
        <v>75</v>
      </c>
      <c r="B1024" s="12">
        <f>B1023+1</f>
        <v>91</v>
      </c>
      <c r="C1024" s="12">
        <f>B1023+20</f>
        <v>110</v>
      </c>
      <c r="D1024" s="12">
        <f>C1024+1</f>
        <v>111</v>
      </c>
    </row>
    <row r="1025" spans="1:4" x14ac:dyDescent="0.25">
      <c r="A1025" t="s">
        <v>75</v>
      </c>
      <c r="B1025" s="12">
        <f>B1024</f>
        <v>91</v>
      </c>
      <c r="C1025" s="12">
        <f>B1025+1</f>
        <v>92</v>
      </c>
      <c r="D1025" s="12">
        <f>B1025+20</f>
        <v>111</v>
      </c>
    </row>
    <row r="1026" spans="1:4" x14ac:dyDescent="0.25">
      <c r="A1026" t="s">
        <v>75</v>
      </c>
      <c r="B1026" s="12">
        <f>B1025+1</f>
        <v>92</v>
      </c>
      <c r="C1026" s="12">
        <f>B1025+20</f>
        <v>111</v>
      </c>
      <c r="D1026" s="12">
        <f>C1026+1</f>
        <v>112</v>
      </c>
    </row>
    <row r="1027" spans="1:4" x14ac:dyDescent="0.25">
      <c r="A1027" t="s">
        <v>75</v>
      </c>
      <c r="B1027" s="12">
        <f>B1026</f>
        <v>92</v>
      </c>
      <c r="C1027" s="12">
        <f>B1027+1</f>
        <v>93</v>
      </c>
      <c r="D1027" s="12">
        <f>B1027+20</f>
        <v>112</v>
      </c>
    </row>
    <row r="1028" spans="1:4" x14ac:dyDescent="0.25">
      <c r="A1028" t="s">
        <v>75</v>
      </c>
      <c r="B1028" s="12">
        <f>B1027+1</f>
        <v>93</v>
      </c>
      <c r="C1028" s="12">
        <f>B1027+20</f>
        <v>112</v>
      </c>
      <c r="D1028" s="12">
        <f>C1028+1</f>
        <v>113</v>
      </c>
    </row>
    <row r="1029" spans="1:4" x14ac:dyDescent="0.25">
      <c r="A1029" t="s">
        <v>75</v>
      </c>
      <c r="B1029" s="12">
        <f>B1028</f>
        <v>93</v>
      </c>
      <c r="C1029" s="12">
        <f>B1029+1</f>
        <v>94</v>
      </c>
      <c r="D1029" s="12">
        <f>B1029+20</f>
        <v>113</v>
      </c>
    </row>
    <row r="1030" spans="1:4" x14ac:dyDescent="0.25">
      <c r="A1030" t="s">
        <v>75</v>
      </c>
      <c r="B1030" s="12">
        <f>B1029+1</f>
        <v>94</v>
      </c>
      <c r="C1030" s="12">
        <f>B1029+20</f>
        <v>113</v>
      </c>
      <c r="D1030" s="12">
        <f>C1030+1</f>
        <v>114</v>
      </c>
    </row>
    <row r="1031" spans="1:4" x14ac:dyDescent="0.25">
      <c r="A1031" t="s">
        <v>75</v>
      </c>
      <c r="B1031" s="12">
        <f>B1030</f>
        <v>94</v>
      </c>
      <c r="C1031" s="12">
        <f>B1031+1</f>
        <v>95</v>
      </c>
      <c r="D1031" s="12">
        <f>B1031+20</f>
        <v>114</v>
      </c>
    </row>
    <row r="1032" spans="1:4" x14ac:dyDescent="0.25">
      <c r="A1032" t="s">
        <v>75</v>
      </c>
      <c r="B1032" s="12">
        <f>B1031+1</f>
        <v>95</v>
      </c>
      <c r="C1032" s="12">
        <f>B1031+20</f>
        <v>114</v>
      </c>
      <c r="D1032" s="12">
        <f>C1032+1</f>
        <v>115</v>
      </c>
    </row>
    <row r="1033" spans="1:4" x14ac:dyDescent="0.25">
      <c r="A1033" t="s">
        <v>75</v>
      </c>
      <c r="B1033" s="12">
        <f>B1032</f>
        <v>95</v>
      </c>
      <c r="C1033" s="12">
        <f>B1033+1</f>
        <v>96</v>
      </c>
      <c r="D1033" s="12">
        <f>B1033+20</f>
        <v>115</v>
      </c>
    </row>
    <row r="1034" spans="1:4" x14ac:dyDescent="0.25">
      <c r="A1034" t="s">
        <v>75</v>
      </c>
      <c r="B1034" s="12">
        <f>B1033+1</f>
        <v>96</v>
      </c>
      <c r="C1034" s="12">
        <f>B1033+20</f>
        <v>115</v>
      </c>
      <c r="D1034" s="12">
        <f>C1034+1</f>
        <v>116</v>
      </c>
    </row>
    <row r="1035" spans="1:4" x14ac:dyDescent="0.25">
      <c r="A1035" t="s">
        <v>75</v>
      </c>
      <c r="B1035" s="12">
        <f>B1034</f>
        <v>96</v>
      </c>
      <c r="C1035" s="12">
        <f>B1035+1</f>
        <v>97</v>
      </c>
      <c r="D1035" s="12">
        <f>B1035+20</f>
        <v>116</v>
      </c>
    </row>
    <row r="1036" spans="1:4" x14ac:dyDescent="0.25">
      <c r="A1036" t="s">
        <v>75</v>
      </c>
      <c r="B1036" s="12">
        <f>B1035+1</f>
        <v>97</v>
      </c>
      <c r="C1036" s="12">
        <f>B1035+20</f>
        <v>116</v>
      </c>
      <c r="D1036" s="12">
        <f>C1036+1</f>
        <v>117</v>
      </c>
    </row>
    <row r="1037" spans="1:4" x14ac:dyDescent="0.25">
      <c r="A1037" t="s">
        <v>75</v>
      </c>
      <c r="B1037" s="12">
        <f>B1036</f>
        <v>97</v>
      </c>
      <c r="C1037" s="12">
        <f>B1037+1</f>
        <v>98</v>
      </c>
      <c r="D1037" s="12">
        <f>B1037+20</f>
        <v>117</v>
      </c>
    </row>
    <row r="1038" spans="1:4" x14ac:dyDescent="0.25">
      <c r="A1038" t="s">
        <v>75</v>
      </c>
      <c r="B1038" s="12">
        <f>B1037+1</f>
        <v>98</v>
      </c>
      <c r="C1038" s="12">
        <f>B1037+20</f>
        <v>117</v>
      </c>
      <c r="D1038" s="12">
        <f>C1038+1</f>
        <v>118</v>
      </c>
    </row>
    <row r="1039" spans="1:4" x14ac:dyDescent="0.25">
      <c r="A1039" t="s">
        <v>75</v>
      </c>
      <c r="B1039" s="12">
        <f>B1038</f>
        <v>98</v>
      </c>
      <c r="C1039" s="12">
        <f>B1039+1</f>
        <v>99</v>
      </c>
      <c r="D1039" s="12">
        <f>B1039+20</f>
        <v>118</v>
      </c>
    </row>
    <row r="1040" spans="1:4" x14ac:dyDescent="0.25">
      <c r="A1040" t="s">
        <v>75</v>
      </c>
      <c r="B1040" s="12">
        <f>B1039+1</f>
        <v>99</v>
      </c>
      <c r="C1040" s="12">
        <f>B1039+20</f>
        <v>118</v>
      </c>
      <c r="D1040" s="12">
        <f>C1040+1</f>
        <v>119</v>
      </c>
    </row>
    <row r="1041" spans="1:4" x14ac:dyDescent="0.25">
      <c r="A1041" t="s">
        <v>75</v>
      </c>
      <c r="B1041" s="12">
        <f>B1040</f>
        <v>99</v>
      </c>
      <c r="C1041" s="12">
        <f>B1041+1</f>
        <v>100</v>
      </c>
      <c r="D1041" s="12">
        <f>B1041+20</f>
        <v>119</v>
      </c>
    </row>
    <row r="1042" spans="1:4" x14ac:dyDescent="0.25">
      <c r="A1042" t="s">
        <v>75</v>
      </c>
      <c r="B1042" s="12">
        <f>B1041+1</f>
        <v>100</v>
      </c>
      <c r="C1042" s="12">
        <f>B1041+20</f>
        <v>119</v>
      </c>
      <c r="D1042" s="12">
        <f>C1042+1</f>
        <v>120</v>
      </c>
    </row>
    <row r="1043" spans="1:4" x14ac:dyDescent="0.25">
      <c r="A1043" t="s">
        <v>75</v>
      </c>
      <c r="B1043" s="12">
        <f>B1042</f>
        <v>100</v>
      </c>
      <c r="C1043" s="12">
        <f>B1043+1</f>
        <v>101</v>
      </c>
      <c r="D1043" s="12">
        <f>B1043+20</f>
        <v>120</v>
      </c>
    </row>
    <row r="1044" spans="1:4" x14ac:dyDescent="0.25">
      <c r="A1044" t="s">
        <v>75</v>
      </c>
      <c r="B1044" s="12">
        <f>B1043+1</f>
        <v>101</v>
      </c>
      <c r="C1044" s="12">
        <f>B1043+20</f>
        <v>120</v>
      </c>
      <c r="D1044" s="12">
        <f>C1044+1</f>
        <v>121</v>
      </c>
    </row>
    <row r="1045" spans="1:4" x14ac:dyDescent="0.25">
      <c r="A1045" t="s">
        <v>75</v>
      </c>
      <c r="B1045" s="12">
        <f>B1044</f>
        <v>101</v>
      </c>
      <c r="C1045" s="12">
        <f>B1045+1</f>
        <v>102</v>
      </c>
      <c r="D1045" s="12">
        <f>B1045+20</f>
        <v>121</v>
      </c>
    </row>
    <row r="1046" spans="1:4" x14ac:dyDescent="0.25">
      <c r="A1046" t="s">
        <v>75</v>
      </c>
      <c r="B1046" s="12">
        <f>B1045+1</f>
        <v>102</v>
      </c>
      <c r="C1046" s="12">
        <f>B1045+20</f>
        <v>121</v>
      </c>
      <c r="D1046" s="12">
        <f>C1046+1</f>
        <v>122</v>
      </c>
    </row>
    <row r="1047" spans="1:4" x14ac:dyDescent="0.25">
      <c r="A1047" t="s">
        <v>75</v>
      </c>
      <c r="B1047" s="12">
        <f>B1046</f>
        <v>102</v>
      </c>
      <c r="C1047" s="12">
        <f>B1047+1</f>
        <v>103</v>
      </c>
      <c r="D1047" s="12">
        <f>B1047+20</f>
        <v>122</v>
      </c>
    </row>
    <row r="1048" spans="1:4" x14ac:dyDescent="0.25">
      <c r="A1048" t="s">
        <v>75</v>
      </c>
      <c r="B1048" s="12">
        <f>B1047+1</f>
        <v>103</v>
      </c>
      <c r="C1048" s="12">
        <f>B1047+20</f>
        <v>122</v>
      </c>
      <c r="D1048" s="12">
        <f>C1048+1</f>
        <v>123</v>
      </c>
    </row>
    <row r="1049" spans="1:4" x14ac:dyDescent="0.25">
      <c r="A1049" t="s">
        <v>75</v>
      </c>
      <c r="B1049" s="12">
        <f>B1048</f>
        <v>103</v>
      </c>
      <c r="C1049" s="12">
        <f>B1049+1</f>
        <v>104</v>
      </c>
      <c r="D1049" s="12">
        <f>B1049+20</f>
        <v>123</v>
      </c>
    </row>
    <row r="1050" spans="1:4" x14ac:dyDescent="0.25">
      <c r="A1050" t="s">
        <v>75</v>
      </c>
      <c r="B1050" s="12">
        <f>B1049+1</f>
        <v>104</v>
      </c>
      <c r="C1050" s="12">
        <f>B1049+20</f>
        <v>123</v>
      </c>
      <c r="D1050" s="12">
        <f>C1050+1</f>
        <v>124</v>
      </c>
    </row>
    <row r="1051" spans="1:4" x14ac:dyDescent="0.25">
      <c r="A1051" t="s">
        <v>75</v>
      </c>
      <c r="B1051" s="12">
        <f>B1050</f>
        <v>104</v>
      </c>
      <c r="C1051" s="12">
        <f>B1051+1</f>
        <v>105</v>
      </c>
      <c r="D1051" s="12">
        <f>B1051+20</f>
        <v>124</v>
      </c>
    </row>
    <row r="1052" spans="1:4" x14ac:dyDescent="0.25">
      <c r="A1052" t="s">
        <v>75</v>
      </c>
      <c r="B1052" s="12">
        <f>B1051+1</f>
        <v>105</v>
      </c>
      <c r="C1052" s="12">
        <f>B1051+20</f>
        <v>124</v>
      </c>
      <c r="D1052" s="12">
        <f>C1052+1</f>
        <v>125</v>
      </c>
    </row>
    <row r="1053" spans="1:4" x14ac:dyDescent="0.25">
      <c r="A1053" t="s">
        <v>75</v>
      </c>
      <c r="B1053" s="12">
        <f>B1052</f>
        <v>105</v>
      </c>
      <c r="C1053" s="12">
        <f>B1053+1</f>
        <v>106</v>
      </c>
      <c r="D1053" s="12">
        <f>B1053+20</f>
        <v>125</v>
      </c>
    </row>
    <row r="1054" spans="1:4" x14ac:dyDescent="0.25">
      <c r="A1054" t="s">
        <v>75</v>
      </c>
      <c r="B1054" s="12">
        <f>B1053+1</f>
        <v>106</v>
      </c>
      <c r="C1054" s="12">
        <f>B1053+20</f>
        <v>125</v>
      </c>
      <c r="D1054" s="12">
        <f>C1054+1</f>
        <v>126</v>
      </c>
    </row>
    <row r="1055" spans="1:4" x14ac:dyDescent="0.25">
      <c r="A1055" t="s">
        <v>75</v>
      </c>
      <c r="B1055" s="12">
        <f>B1054</f>
        <v>106</v>
      </c>
      <c r="C1055" s="12">
        <f>B1055+1</f>
        <v>107</v>
      </c>
      <c r="D1055" s="12">
        <f>B1055+20</f>
        <v>126</v>
      </c>
    </row>
    <row r="1056" spans="1:4" x14ac:dyDescent="0.25">
      <c r="A1056" t="s">
        <v>75</v>
      </c>
      <c r="B1056" s="12">
        <f>B1055+1</f>
        <v>107</v>
      </c>
      <c r="C1056" s="12">
        <f>B1055+20</f>
        <v>126</v>
      </c>
      <c r="D1056" s="12">
        <f>C1056+1</f>
        <v>127</v>
      </c>
    </row>
    <row r="1057" spans="1:4" x14ac:dyDescent="0.25">
      <c r="A1057" t="s">
        <v>75</v>
      </c>
      <c r="B1057" s="12">
        <f>B1056</f>
        <v>107</v>
      </c>
      <c r="C1057" s="12">
        <f>B1057+1</f>
        <v>108</v>
      </c>
      <c r="D1057" s="12">
        <f>B1057+20</f>
        <v>127</v>
      </c>
    </row>
    <row r="1058" spans="1:4" x14ac:dyDescent="0.25">
      <c r="A1058" t="s">
        <v>75</v>
      </c>
      <c r="B1058" s="12">
        <f>B1057+1</f>
        <v>108</v>
      </c>
      <c r="C1058" s="12">
        <f>B1057+20</f>
        <v>127</v>
      </c>
      <c r="D1058" s="12">
        <f>C1058+1</f>
        <v>128</v>
      </c>
    </row>
    <row r="1059" spans="1:4" x14ac:dyDescent="0.25">
      <c r="A1059" t="s">
        <v>75</v>
      </c>
      <c r="B1059" s="12">
        <f>B1058</f>
        <v>108</v>
      </c>
      <c r="C1059" s="12">
        <f>B1059+1</f>
        <v>109</v>
      </c>
      <c r="D1059" s="12">
        <f>B1059+20</f>
        <v>128</v>
      </c>
    </row>
    <row r="1060" spans="1:4" x14ac:dyDescent="0.25">
      <c r="A1060" t="s">
        <v>75</v>
      </c>
      <c r="B1060" s="12">
        <f>B1059+1</f>
        <v>109</v>
      </c>
      <c r="C1060" s="12">
        <f>B1059+20</f>
        <v>128</v>
      </c>
      <c r="D1060" s="12">
        <f>C1060+1</f>
        <v>129</v>
      </c>
    </row>
    <row r="1061" spans="1:4" x14ac:dyDescent="0.25">
      <c r="A1061" t="s">
        <v>75</v>
      </c>
      <c r="B1061" s="12">
        <f>B1060</f>
        <v>109</v>
      </c>
      <c r="C1061" s="12">
        <f>B1061+1</f>
        <v>110</v>
      </c>
      <c r="D1061" s="12">
        <f>B1061+20</f>
        <v>129</v>
      </c>
    </row>
    <row r="1062" spans="1:4" x14ac:dyDescent="0.25">
      <c r="A1062" t="s">
        <v>75</v>
      </c>
      <c r="B1062" s="12">
        <f>B1061+1</f>
        <v>110</v>
      </c>
      <c r="C1062" s="12">
        <f>B1061+20</f>
        <v>129</v>
      </c>
      <c r="D1062" s="12">
        <f>C1062+1</f>
        <v>130</v>
      </c>
    </row>
    <row r="1063" spans="1:4" x14ac:dyDescent="0.25">
      <c r="A1063" t="s">
        <v>75</v>
      </c>
      <c r="B1063" s="12">
        <f>B1062</f>
        <v>110</v>
      </c>
      <c r="C1063" s="12">
        <f>B1063+1</f>
        <v>111</v>
      </c>
      <c r="D1063" s="12">
        <f>B1063+20</f>
        <v>130</v>
      </c>
    </row>
    <row r="1064" spans="1:4" x14ac:dyDescent="0.25">
      <c r="A1064" t="s">
        <v>75</v>
      </c>
      <c r="B1064" s="12">
        <f>B1063+1</f>
        <v>111</v>
      </c>
      <c r="C1064" s="12">
        <f>B1063+20</f>
        <v>130</v>
      </c>
      <c r="D1064" s="12">
        <f>C1064+1</f>
        <v>131</v>
      </c>
    </row>
    <row r="1065" spans="1:4" x14ac:dyDescent="0.25">
      <c r="A1065" t="s">
        <v>75</v>
      </c>
      <c r="B1065" s="12">
        <f>B1064</f>
        <v>111</v>
      </c>
      <c r="C1065" s="12">
        <f>B1065+1</f>
        <v>112</v>
      </c>
      <c r="D1065" s="12">
        <f>B1065+20</f>
        <v>131</v>
      </c>
    </row>
    <row r="1066" spans="1:4" x14ac:dyDescent="0.25">
      <c r="A1066" t="s">
        <v>75</v>
      </c>
      <c r="B1066" s="12">
        <f>B1065+1</f>
        <v>112</v>
      </c>
      <c r="C1066" s="12">
        <f>B1065+20</f>
        <v>131</v>
      </c>
      <c r="D1066" s="12">
        <f>C1066+1</f>
        <v>132</v>
      </c>
    </row>
    <row r="1067" spans="1:4" x14ac:dyDescent="0.25">
      <c r="A1067" t="s">
        <v>75</v>
      </c>
      <c r="B1067" s="12">
        <f>B1066</f>
        <v>112</v>
      </c>
      <c r="C1067" s="12">
        <f>B1067+1</f>
        <v>113</v>
      </c>
      <c r="D1067" s="12">
        <f>B1067+20</f>
        <v>132</v>
      </c>
    </row>
    <row r="1068" spans="1:4" x14ac:dyDescent="0.25">
      <c r="A1068" t="s">
        <v>75</v>
      </c>
      <c r="B1068" s="12">
        <f>B1067+1</f>
        <v>113</v>
      </c>
      <c r="C1068" s="12">
        <f>B1067+20</f>
        <v>132</v>
      </c>
      <c r="D1068" s="12">
        <f>C1068+1</f>
        <v>133</v>
      </c>
    </row>
    <row r="1069" spans="1:4" x14ac:dyDescent="0.25">
      <c r="A1069" t="s">
        <v>75</v>
      </c>
      <c r="B1069" s="12">
        <f>B1068</f>
        <v>113</v>
      </c>
      <c r="C1069" s="12">
        <f>B1069+1</f>
        <v>114</v>
      </c>
      <c r="D1069" s="12">
        <f>B1069+20</f>
        <v>133</v>
      </c>
    </row>
    <row r="1070" spans="1:4" x14ac:dyDescent="0.25">
      <c r="A1070" t="s">
        <v>75</v>
      </c>
      <c r="B1070" s="12">
        <f>B1069+1</f>
        <v>114</v>
      </c>
      <c r="C1070" s="12">
        <f>B1069+20</f>
        <v>133</v>
      </c>
      <c r="D1070" s="12">
        <f>C1070+1</f>
        <v>134</v>
      </c>
    </row>
    <row r="1071" spans="1:4" x14ac:dyDescent="0.25">
      <c r="A1071" t="s">
        <v>75</v>
      </c>
      <c r="B1071" s="12">
        <f>B1070</f>
        <v>114</v>
      </c>
      <c r="C1071" s="12">
        <f>B1071+1</f>
        <v>115</v>
      </c>
      <c r="D1071" s="12">
        <f>B1071+20</f>
        <v>134</v>
      </c>
    </row>
    <row r="1072" spans="1:4" x14ac:dyDescent="0.25">
      <c r="A1072" t="s">
        <v>75</v>
      </c>
      <c r="B1072" s="12">
        <f>B1071+1</f>
        <v>115</v>
      </c>
      <c r="C1072" s="12">
        <f>B1071+20</f>
        <v>134</v>
      </c>
      <c r="D1072" s="12">
        <f>C1072+1</f>
        <v>135</v>
      </c>
    </row>
    <row r="1073" spans="1:4" x14ac:dyDescent="0.25">
      <c r="A1073" t="s">
        <v>75</v>
      </c>
      <c r="B1073" s="12">
        <f>B1072</f>
        <v>115</v>
      </c>
      <c r="C1073" s="12">
        <f>B1073+1</f>
        <v>116</v>
      </c>
      <c r="D1073" s="12">
        <f>B1073+20</f>
        <v>135</v>
      </c>
    </row>
    <row r="1074" spans="1:4" x14ac:dyDescent="0.25">
      <c r="A1074" t="s">
        <v>75</v>
      </c>
      <c r="B1074" s="12">
        <f>B1073+1</f>
        <v>116</v>
      </c>
      <c r="C1074" s="12">
        <f>B1073+20</f>
        <v>135</v>
      </c>
      <c r="D1074" s="12">
        <f>C1074+1</f>
        <v>136</v>
      </c>
    </row>
    <row r="1075" spans="1:4" x14ac:dyDescent="0.25">
      <c r="A1075" t="s">
        <v>75</v>
      </c>
      <c r="B1075" s="12">
        <f>B1074</f>
        <v>116</v>
      </c>
      <c r="C1075" s="12">
        <f>B1075+1</f>
        <v>117</v>
      </c>
      <c r="D1075" s="12">
        <f>B1075+20</f>
        <v>136</v>
      </c>
    </row>
    <row r="1076" spans="1:4" x14ac:dyDescent="0.25">
      <c r="A1076" t="s">
        <v>75</v>
      </c>
      <c r="B1076" s="12">
        <f>B1075+1</f>
        <v>117</v>
      </c>
      <c r="C1076" s="12">
        <f>B1075+20</f>
        <v>136</v>
      </c>
      <c r="D1076" s="12">
        <f>C1076+1</f>
        <v>137</v>
      </c>
    </row>
    <row r="1077" spans="1:4" x14ac:dyDescent="0.25">
      <c r="A1077" t="s">
        <v>75</v>
      </c>
      <c r="B1077" s="12">
        <f>B1076</f>
        <v>117</v>
      </c>
      <c r="C1077" s="12">
        <f>B1077+1</f>
        <v>118</v>
      </c>
      <c r="D1077" s="12">
        <f>B1077+20</f>
        <v>137</v>
      </c>
    </row>
    <row r="1078" spans="1:4" x14ac:dyDescent="0.25">
      <c r="A1078" t="s">
        <v>75</v>
      </c>
      <c r="B1078" s="12">
        <f>B1077+1</f>
        <v>118</v>
      </c>
      <c r="C1078" s="12">
        <f>B1077+20</f>
        <v>137</v>
      </c>
      <c r="D1078" s="12">
        <f>C1078+1</f>
        <v>138</v>
      </c>
    </row>
    <row r="1079" spans="1:4" x14ac:dyDescent="0.25">
      <c r="A1079" t="s">
        <v>75</v>
      </c>
      <c r="B1079" s="12">
        <f>B1078</f>
        <v>118</v>
      </c>
      <c r="C1079" s="12">
        <f>B1079+1</f>
        <v>119</v>
      </c>
      <c r="D1079" s="12">
        <f>B1079+20</f>
        <v>138</v>
      </c>
    </row>
    <row r="1080" spans="1:4" x14ac:dyDescent="0.25">
      <c r="A1080" t="s">
        <v>75</v>
      </c>
      <c r="B1080" s="12">
        <f>B1079+1</f>
        <v>119</v>
      </c>
      <c r="C1080" s="12">
        <f>B1079+20</f>
        <v>138</v>
      </c>
      <c r="D1080" s="12">
        <f>C1080+1</f>
        <v>139</v>
      </c>
    </row>
    <row r="1081" spans="1:4" x14ac:dyDescent="0.25">
      <c r="A1081" t="s">
        <v>75</v>
      </c>
      <c r="B1081" s="12">
        <f>B1080</f>
        <v>119</v>
      </c>
      <c r="C1081" s="12">
        <f>B1081+1</f>
        <v>120</v>
      </c>
      <c r="D1081" s="12">
        <f>B1081+20</f>
        <v>139</v>
      </c>
    </row>
    <row r="1082" spans="1:4" x14ac:dyDescent="0.25">
      <c r="A1082" t="s">
        <v>75</v>
      </c>
      <c r="B1082" s="12">
        <f>B1081+1</f>
        <v>120</v>
      </c>
      <c r="C1082" s="12">
        <f>B1081+20</f>
        <v>139</v>
      </c>
      <c r="D1082" s="12">
        <f>C1082+1</f>
        <v>140</v>
      </c>
    </row>
    <row r="1083" spans="1:4" x14ac:dyDescent="0.25">
      <c r="A1083" t="s">
        <v>75</v>
      </c>
      <c r="B1083" s="12">
        <f>B1082</f>
        <v>120</v>
      </c>
      <c r="C1083" s="12">
        <f>B1083+1</f>
        <v>121</v>
      </c>
      <c r="D1083" s="12">
        <f>B1083+20</f>
        <v>140</v>
      </c>
    </row>
    <row r="1084" spans="1:4" x14ac:dyDescent="0.25">
      <c r="A1084" t="s">
        <v>75</v>
      </c>
      <c r="B1084" s="12">
        <f>B1083+1</f>
        <v>121</v>
      </c>
      <c r="C1084" s="12">
        <f>B1083+20</f>
        <v>140</v>
      </c>
      <c r="D1084" s="12">
        <f>C1084+1</f>
        <v>141</v>
      </c>
    </row>
    <row r="1085" spans="1:4" x14ac:dyDescent="0.25">
      <c r="A1085" t="s">
        <v>75</v>
      </c>
      <c r="B1085" s="12">
        <f>B1084</f>
        <v>121</v>
      </c>
      <c r="C1085" s="12">
        <f>B1085+1</f>
        <v>122</v>
      </c>
      <c r="D1085" s="12">
        <f>B1085+20</f>
        <v>141</v>
      </c>
    </row>
    <row r="1086" spans="1:4" x14ac:dyDescent="0.25">
      <c r="A1086" t="s">
        <v>75</v>
      </c>
      <c r="B1086" s="12">
        <f>B1085+1</f>
        <v>122</v>
      </c>
      <c r="C1086" s="12">
        <f>B1085+20</f>
        <v>141</v>
      </c>
      <c r="D1086" s="12">
        <f>C1086+1</f>
        <v>142</v>
      </c>
    </row>
    <row r="1087" spans="1:4" x14ac:dyDescent="0.25">
      <c r="A1087" t="s">
        <v>75</v>
      </c>
      <c r="B1087" s="12">
        <f>B1086</f>
        <v>122</v>
      </c>
      <c r="C1087" s="12">
        <f>B1087+1</f>
        <v>123</v>
      </c>
      <c r="D1087" s="12">
        <f>B1087+20</f>
        <v>142</v>
      </c>
    </row>
    <row r="1088" spans="1:4" x14ac:dyDescent="0.25">
      <c r="A1088" t="s">
        <v>75</v>
      </c>
      <c r="B1088" s="12">
        <f>B1087+1</f>
        <v>123</v>
      </c>
      <c r="C1088" s="12">
        <f>B1087+20</f>
        <v>142</v>
      </c>
      <c r="D1088" s="12">
        <f>C1088+1</f>
        <v>143</v>
      </c>
    </row>
    <row r="1089" spans="1:4" x14ac:dyDescent="0.25">
      <c r="A1089" t="s">
        <v>75</v>
      </c>
      <c r="B1089" s="12">
        <f>B1088</f>
        <v>123</v>
      </c>
      <c r="C1089" s="12">
        <f>B1089+1</f>
        <v>124</v>
      </c>
      <c r="D1089" s="12">
        <f>B1089+20</f>
        <v>143</v>
      </c>
    </row>
    <row r="1090" spans="1:4" x14ac:dyDescent="0.25">
      <c r="A1090" t="s">
        <v>75</v>
      </c>
      <c r="B1090" s="12">
        <f>B1089+1</f>
        <v>124</v>
      </c>
      <c r="C1090" s="12">
        <f>B1089+20</f>
        <v>143</v>
      </c>
      <c r="D1090" s="12">
        <f>C1090+1</f>
        <v>144</v>
      </c>
    </row>
    <row r="1091" spans="1:4" x14ac:dyDescent="0.25">
      <c r="A1091" t="s">
        <v>75</v>
      </c>
      <c r="B1091" s="12">
        <f>B1090</f>
        <v>124</v>
      </c>
      <c r="C1091" s="12">
        <f>B1091+1</f>
        <v>125</v>
      </c>
      <c r="D1091" s="12">
        <f>B1091+20</f>
        <v>144</v>
      </c>
    </row>
    <row r="1092" spans="1:4" x14ac:dyDescent="0.25">
      <c r="A1092" t="s">
        <v>75</v>
      </c>
      <c r="B1092" s="12">
        <f>B1091+1</f>
        <v>125</v>
      </c>
      <c r="C1092" s="12">
        <f>B1091+20</f>
        <v>144</v>
      </c>
      <c r="D1092" s="12">
        <f>C1092+1</f>
        <v>145</v>
      </c>
    </row>
    <row r="1093" spans="1:4" x14ac:dyDescent="0.25">
      <c r="A1093" t="s">
        <v>75</v>
      </c>
      <c r="B1093" s="12">
        <f>B1092</f>
        <v>125</v>
      </c>
      <c r="C1093" s="12">
        <f>B1093+1</f>
        <v>126</v>
      </c>
      <c r="D1093" s="12">
        <f>B1093+20</f>
        <v>145</v>
      </c>
    </row>
    <row r="1094" spans="1:4" x14ac:dyDescent="0.25">
      <c r="A1094" t="s">
        <v>75</v>
      </c>
      <c r="B1094" s="12">
        <f>B1093+1</f>
        <v>126</v>
      </c>
      <c r="C1094" s="12">
        <f>B1093+20</f>
        <v>145</v>
      </c>
      <c r="D1094" s="12">
        <f>C1094+1</f>
        <v>146</v>
      </c>
    </row>
    <row r="1095" spans="1:4" x14ac:dyDescent="0.25">
      <c r="A1095" t="s">
        <v>75</v>
      </c>
      <c r="B1095" s="12">
        <f>B1094</f>
        <v>126</v>
      </c>
      <c r="C1095" s="12">
        <f>B1095+1</f>
        <v>127</v>
      </c>
      <c r="D1095" s="12">
        <f>B1095+20</f>
        <v>146</v>
      </c>
    </row>
    <row r="1096" spans="1:4" x14ac:dyDescent="0.25">
      <c r="A1096" t="s">
        <v>75</v>
      </c>
      <c r="B1096" s="12">
        <f>B1095+1</f>
        <v>127</v>
      </c>
      <c r="C1096" s="12">
        <f>B1095+20</f>
        <v>146</v>
      </c>
      <c r="D1096" s="12">
        <f>C1096+1</f>
        <v>147</v>
      </c>
    </row>
    <row r="1097" spans="1:4" x14ac:dyDescent="0.25">
      <c r="A1097" t="s">
        <v>75</v>
      </c>
      <c r="B1097" s="12">
        <f>B1096</f>
        <v>127</v>
      </c>
      <c r="C1097" s="12">
        <f>B1097+1</f>
        <v>128</v>
      </c>
      <c r="D1097" s="12">
        <f>B1097+20</f>
        <v>147</v>
      </c>
    </row>
    <row r="1098" spans="1:4" x14ac:dyDescent="0.25">
      <c r="A1098" t="s">
        <v>75</v>
      </c>
      <c r="B1098" s="12">
        <f>B1097+1</f>
        <v>128</v>
      </c>
      <c r="C1098" s="12">
        <f>B1097+20</f>
        <v>147</v>
      </c>
      <c r="D1098" s="12">
        <f>C1098+1</f>
        <v>148</v>
      </c>
    </row>
    <row r="1099" spans="1:4" x14ac:dyDescent="0.25">
      <c r="A1099" t="s">
        <v>75</v>
      </c>
      <c r="B1099" s="12">
        <f>B1098</f>
        <v>128</v>
      </c>
      <c r="C1099" s="12">
        <f>B1099+1</f>
        <v>129</v>
      </c>
      <c r="D1099" s="12">
        <f>B1099+20</f>
        <v>148</v>
      </c>
    </row>
    <row r="1100" spans="1:4" x14ac:dyDescent="0.25">
      <c r="A1100" t="s">
        <v>75</v>
      </c>
      <c r="B1100" s="12">
        <f>B1099+1</f>
        <v>129</v>
      </c>
      <c r="C1100" s="12">
        <f>B1099+20</f>
        <v>148</v>
      </c>
      <c r="D1100" s="12">
        <f>C1100+1</f>
        <v>149</v>
      </c>
    </row>
    <row r="1101" spans="1:4" x14ac:dyDescent="0.25">
      <c r="A1101" t="s">
        <v>75</v>
      </c>
      <c r="B1101" s="12">
        <f>B1100</f>
        <v>129</v>
      </c>
      <c r="C1101" s="12">
        <f>B1101+1</f>
        <v>130</v>
      </c>
      <c r="D1101" s="12">
        <f>B1101+20</f>
        <v>149</v>
      </c>
    </row>
    <row r="1102" spans="1:4" x14ac:dyDescent="0.25">
      <c r="A1102" t="s">
        <v>75</v>
      </c>
      <c r="B1102" s="12">
        <f>B1101+1</f>
        <v>130</v>
      </c>
      <c r="C1102" s="12">
        <f>B1101+20</f>
        <v>149</v>
      </c>
      <c r="D1102" s="12">
        <f>C1102+1</f>
        <v>150</v>
      </c>
    </row>
    <row r="1103" spans="1:4" x14ac:dyDescent="0.25">
      <c r="A1103" t="s">
        <v>75</v>
      </c>
      <c r="B1103" s="12">
        <f>B1102</f>
        <v>130</v>
      </c>
      <c r="C1103" s="12">
        <f>B1103+1</f>
        <v>131</v>
      </c>
      <c r="D1103" s="12">
        <f>B1103+20</f>
        <v>150</v>
      </c>
    </row>
    <row r="1104" spans="1:4" x14ac:dyDescent="0.25">
      <c r="A1104" t="s">
        <v>75</v>
      </c>
      <c r="B1104" s="12">
        <f>B1103+1</f>
        <v>131</v>
      </c>
      <c r="C1104" s="12">
        <f>B1103+20</f>
        <v>150</v>
      </c>
      <c r="D1104" s="12">
        <f>C1104+1</f>
        <v>151</v>
      </c>
    </row>
    <row r="1105" spans="1:4" x14ac:dyDescent="0.25">
      <c r="A1105" t="s">
        <v>75</v>
      </c>
      <c r="B1105" s="12">
        <f>B1104</f>
        <v>131</v>
      </c>
      <c r="C1105" s="12">
        <f>B1105+1</f>
        <v>132</v>
      </c>
      <c r="D1105" s="12">
        <f>B1105+20</f>
        <v>151</v>
      </c>
    </row>
    <row r="1106" spans="1:4" x14ac:dyDescent="0.25">
      <c r="A1106" t="s">
        <v>75</v>
      </c>
      <c r="B1106" s="12">
        <f>B1105+1</f>
        <v>132</v>
      </c>
      <c r="C1106" s="12">
        <f>B1105+20</f>
        <v>151</v>
      </c>
      <c r="D1106" s="12">
        <f>C1106+1</f>
        <v>152</v>
      </c>
    </row>
    <row r="1107" spans="1:4" x14ac:dyDescent="0.25">
      <c r="A1107" t="s">
        <v>75</v>
      </c>
      <c r="B1107" s="12">
        <f>B1106</f>
        <v>132</v>
      </c>
      <c r="C1107" s="12">
        <f>B1107+1</f>
        <v>133</v>
      </c>
      <c r="D1107" s="12">
        <f>B1107+20</f>
        <v>152</v>
      </c>
    </row>
    <row r="1108" spans="1:4" x14ac:dyDescent="0.25">
      <c r="A1108" t="s">
        <v>75</v>
      </c>
      <c r="B1108" s="12">
        <f>B1107+1</f>
        <v>133</v>
      </c>
      <c r="C1108" s="12">
        <f>B1107+20</f>
        <v>152</v>
      </c>
      <c r="D1108" s="12">
        <f>C1108+1</f>
        <v>153</v>
      </c>
    </row>
    <row r="1109" spans="1:4" x14ac:dyDescent="0.25">
      <c r="A1109" t="s">
        <v>75</v>
      </c>
      <c r="B1109" s="12">
        <f>B1108</f>
        <v>133</v>
      </c>
      <c r="C1109" s="12">
        <f>B1109+1</f>
        <v>134</v>
      </c>
      <c r="D1109" s="12">
        <f>B1109+20</f>
        <v>153</v>
      </c>
    </row>
    <row r="1110" spans="1:4" x14ac:dyDescent="0.25">
      <c r="A1110" t="s">
        <v>75</v>
      </c>
      <c r="B1110" s="12">
        <f>B1109+1</f>
        <v>134</v>
      </c>
      <c r="C1110" s="12">
        <f>B1109+20</f>
        <v>153</v>
      </c>
      <c r="D1110" s="12">
        <f>C1110+1</f>
        <v>154</v>
      </c>
    </row>
    <row r="1111" spans="1:4" x14ac:dyDescent="0.25">
      <c r="A1111" t="s">
        <v>75</v>
      </c>
      <c r="B1111" s="12">
        <f>B1110</f>
        <v>134</v>
      </c>
      <c r="C1111" s="12">
        <f>B1111+1</f>
        <v>135</v>
      </c>
      <c r="D1111" s="12">
        <f>B1111+20</f>
        <v>154</v>
      </c>
    </row>
    <row r="1112" spans="1:4" x14ac:dyDescent="0.25">
      <c r="A1112" t="s">
        <v>75</v>
      </c>
      <c r="B1112" s="12">
        <f>B1111+1</f>
        <v>135</v>
      </c>
      <c r="C1112" s="12">
        <f>B1111+20</f>
        <v>154</v>
      </c>
      <c r="D1112" s="12">
        <f>C1112+1</f>
        <v>155</v>
      </c>
    </row>
    <row r="1113" spans="1:4" x14ac:dyDescent="0.25">
      <c r="A1113" t="s">
        <v>75</v>
      </c>
      <c r="B1113" s="12">
        <f>B1112</f>
        <v>135</v>
      </c>
      <c r="C1113" s="12">
        <f>B1113+1</f>
        <v>136</v>
      </c>
      <c r="D1113" s="12">
        <f>B1113+20</f>
        <v>155</v>
      </c>
    </row>
    <row r="1114" spans="1:4" x14ac:dyDescent="0.25">
      <c r="A1114" t="s">
        <v>75</v>
      </c>
      <c r="B1114" s="12">
        <f>B1113+1</f>
        <v>136</v>
      </c>
      <c r="C1114" s="12">
        <f>B1113+20</f>
        <v>155</v>
      </c>
      <c r="D1114" s="12">
        <f>C1114+1</f>
        <v>156</v>
      </c>
    </row>
    <row r="1115" spans="1:4" x14ac:dyDescent="0.25">
      <c r="A1115" t="s">
        <v>75</v>
      </c>
      <c r="B1115" s="12">
        <f>B1114</f>
        <v>136</v>
      </c>
      <c r="C1115" s="12">
        <f>B1115+1</f>
        <v>137</v>
      </c>
      <c r="D1115" s="12">
        <f>B1115+20</f>
        <v>156</v>
      </c>
    </row>
    <row r="1116" spans="1:4" x14ac:dyDescent="0.25">
      <c r="A1116" t="s">
        <v>75</v>
      </c>
      <c r="B1116" s="12">
        <f>B1115+1</f>
        <v>137</v>
      </c>
      <c r="C1116" s="12">
        <f>B1115+20</f>
        <v>156</v>
      </c>
      <c r="D1116" s="12">
        <f>C1116+1</f>
        <v>157</v>
      </c>
    </row>
    <row r="1117" spans="1:4" x14ac:dyDescent="0.25">
      <c r="A1117" t="s">
        <v>75</v>
      </c>
      <c r="B1117" s="12">
        <f>B1116</f>
        <v>137</v>
      </c>
      <c r="C1117" s="12">
        <f>B1117+1</f>
        <v>138</v>
      </c>
      <c r="D1117" s="12">
        <f>B1117+20</f>
        <v>157</v>
      </c>
    </row>
    <row r="1118" spans="1:4" x14ac:dyDescent="0.25">
      <c r="A1118" t="s">
        <v>75</v>
      </c>
      <c r="B1118" s="12">
        <f>B1117+1</f>
        <v>138</v>
      </c>
      <c r="C1118" s="12">
        <f>B1117+20</f>
        <v>157</v>
      </c>
      <c r="D1118" s="12">
        <f>C1118+1</f>
        <v>158</v>
      </c>
    </row>
    <row r="1119" spans="1:4" x14ac:dyDescent="0.25">
      <c r="A1119" t="s">
        <v>75</v>
      </c>
      <c r="B1119" s="12">
        <f>B1118</f>
        <v>138</v>
      </c>
      <c r="C1119" s="12">
        <f>B1119+1</f>
        <v>139</v>
      </c>
      <c r="D1119" s="12">
        <f>B1119+20</f>
        <v>158</v>
      </c>
    </row>
    <row r="1120" spans="1:4" x14ac:dyDescent="0.25">
      <c r="A1120" t="s">
        <v>75</v>
      </c>
      <c r="B1120" s="12">
        <f>B1119+1</f>
        <v>139</v>
      </c>
      <c r="C1120" s="12">
        <f>B1119+20</f>
        <v>158</v>
      </c>
      <c r="D1120" s="12">
        <f>C1120+1</f>
        <v>159</v>
      </c>
    </row>
    <row r="1121" spans="1:4" x14ac:dyDescent="0.25">
      <c r="A1121" t="s">
        <v>75</v>
      </c>
      <c r="B1121" s="12">
        <f>B1120</f>
        <v>139</v>
      </c>
      <c r="C1121" s="12">
        <f>B1121+1</f>
        <v>140</v>
      </c>
      <c r="D1121" s="12">
        <f>B1121+20</f>
        <v>159</v>
      </c>
    </row>
    <row r="1122" spans="1:4" x14ac:dyDescent="0.25">
      <c r="A1122" t="s">
        <v>75</v>
      </c>
      <c r="B1122" s="12">
        <f>B1121+1</f>
        <v>140</v>
      </c>
      <c r="C1122" s="12">
        <f>B1121+20</f>
        <v>159</v>
      </c>
      <c r="D1122" s="12">
        <f>C1122+1</f>
        <v>160</v>
      </c>
    </row>
    <row r="1123" spans="1:4" x14ac:dyDescent="0.25">
      <c r="A1123" t="s">
        <v>75</v>
      </c>
      <c r="B1123" s="12">
        <f>B1122</f>
        <v>140</v>
      </c>
      <c r="C1123" s="12">
        <f>B1123+1</f>
        <v>141</v>
      </c>
      <c r="D1123" s="12">
        <f>B1123+20</f>
        <v>160</v>
      </c>
    </row>
    <row r="1124" spans="1:4" x14ac:dyDescent="0.25">
      <c r="A1124" t="s">
        <v>75</v>
      </c>
      <c r="B1124" s="12">
        <f>B1123+1</f>
        <v>141</v>
      </c>
      <c r="C1124" s="12">
        <f>B1123+20</f>
        <v>160</v>
      </c>
      <c r="D1124" s="12">
        <f>C1124+1</f>
        <v>161</v>
      </c>
    </row>
    <row r="1125" spans="1:4" x14ac:dyDescent="0.25">
      <c r="A1125" t="s">
        <v>75</v>
      </c>
      <c r="B1125" s="12">
        <f>B1124</f>
        <v>141</v>
      </c>
      <c r="C1125" s="12">
        <f>B1125+1</f>
        <v>142</v>
      </c>
      <c r="D1125" s="12">
        <f>B1125+20</f>
        <v>161</v>
      </c>
    </row>
    <row r="1126" spans="1:4" x14ac:dyDescent="0.25">
      <c r="A1126" t="s">
        <v>75</v>
      </c>
      <c r="B1126" s="12">
        <f>B1125+1</f>
        <v>142</v>
      </c>
      <c r="C1126" s="12">
        <f>B1125+20</f>
        <v>161</v>
      </c>
      <c r="D1126" s="12">
        <f>C1126+1</f>
        <v>162</v>
      </c>
    </row>
    <row r="1127" spans="1:4" x14ac:dyDescent="0.25">
      <c r="A1127" t="s">
        <v>75</v>
      </c>
      <c r="B1127" s="12">
        <f>B1126</f>
        <v>142</v>
      </c>
      <c r="C1127" s="12">
        <f>B1127+1</f>
        <v>143</v>
      </c>
      <c r="D1127" s="12">
        <f>B1127+20</f>
        <v>162</v>
      </c>
    </row>
    <row r="1128" spans="1:4" x14ac:dyDescent="0.25">
      <c r="A1128" t="s">
        <v>75</v>
      </c>
      <c r="B1128" s="12">
        <f>B1127+1</f>
        <v>143</v>
      </c>
      <c r="C1128" s="12">
        <f>B1127+20</f>
        <v>162</v>
      </c>
      <c r="D1128" s="12">
        <f>C1128+1</f>
        <v>163</v>
      </c>
    </row>
    <row r="1129" spans="1:4" x14ac:dyDescent="0.25">
      <c r="A1129" t="s">
        <v>75</v>
      </c>
      <c r="B1129" s="12">
        <f>B1128</f>
        <v>143</v>
      </c>
      <c r="C1129" s="12">
        <f>B1129+1</f>
        <v>144</v>
      </c>
      <c r="D1129" s="12">
        <f>B1129+20</f>
        <v>163</v>
      </c>
    </row>
    <row r="1130" spans="1:4" x14ac:dyDescent="0.25">
      <c r="A1130" t="s">
        <v>75</v>
      </c>
      <c r="B1130" s="12">
        <f>B1129+1</f>
        <v>144</v>
      </c>
      <c r="C1130" s="12">
        <f>B1129+20</f>
        <v>163</v>
      </c>
      <c r="D1130" s="12">
        <f>C1130+1</f>
        <v>164</v>
      </c>
    </row>
    <row r="1131" spans="1:4" x14ac:dyDescent="0.25">
      <c r="A1131" t="s">
        <v>75</v>
      </c>
      <c r="B1131" s="12">
        <f>B1130</f>
        <v>144</v>
      </c>
      <c r="C1131" s="12">
        <f>B1131+1</f>
        <v>145</v>
      </c>
      <c r="D1131" s="12">
        <f>B1131+20</f>
        <v>164</v>
      </c>
    </row>
    <row r="1132" spans="1:4" x14ac:dyDescent="0.25">
      <c r="A1132" t="s">
        <v>75</v>
      </c>
      <c r="B1132" s="12">
        <f>B1131+1</f>
        <v>145</v>
      </c>
      <c r="C1132" s="12">
        <f>B1131+20</f>
        <v>164</v>
      </c>
      <c r="D1132" s="12">
        <f>C1132+1</f>
        <v>165</v>
      </c>
    </row>
    <row r="1133" spans="1:4" x14ac:dyDescent="0.25">
      <c r="A1133" t="s">
        <v>75</v>
      </c>
      <c r="B1133" s="12">
        <f>B1132</f>
        <v>145</v>
      </c>
      <c r="C1133" s="12">
        <f>B1133+1</f>
        <v>146</v>
      </c>
      <c r="D1133" s="12">
        <f>B1133+20</f>
        <v>165</v>
      </c>
    </row>
    <row r="1134" spans="1:4" x14ac:dyDescent="0.25">
      <c r="A1134" t="s">
        <v>75</v>
      </c>
      <c r="B1134" s="12">
        <f>B1133+1</f>
        <v>146</v>
      </c>
      <c r="C1134" s="12">
        <f>B1133+20</f>
        <v>165</v>
      </c>
      <c r="D1134" s="12">
        <f>C1134+1</f>
        <v>166</v>
      </c>
    </row>
    <row r="1135" spans="1:4" x14ac:dyDescent="0.25">
      <c r="A1135" t="s">
        <v>75</v>
      </c>
      <c r="B1135" s="12">
        <f>B1134</f>
        <v>146</v>
      </c>
      <c r="C1135" s="12">
        <f>B1135+1</f>
        <v>147</v>
      </c>
      <c r="D1135" s="12">
        <f>B1135+20</f>
        <v>166</v>
      </c>
    </row>
    <row r="1136" spans="1:4" x14ac:dyDescent="0.25">
      <c r="A1136" t="s">
        <v>75</v>
      </c>
      <c r="B1136" s="12">
        <f>B1135+1</f>
        <v>147</v>
      </c>
      <c r="C1136" s="12">
        <f>B1135+20</f>
        <v>166</v>
      </c>
      <c r="D1136" s="12">
        <f>C1136+1</f>
        <v>167</v>
      </c>
    </row>
    <row r="1137" spans="1:4" x14ac:dyDescent="0.25">
      <c r="A1137" t="s">
        <v>75</v>
      </c>
      <c r="B1137" s="12">
        <f>B1136</f>
        <v>147</v>
      </c>
      <c r="C1137" s="12">
        <f>B1137+1</f>
        <v>148</v>
      </c>
      <c r="D1137" s="12">
        <f>B1137+20</f>
        <v>167</v>
      </c>
    </row>
    <row r="1138" spans="1:4" x14ac:dyDescent="0.25">
      <c r="A1138" t="s">
        <v>75</v>
      </c>
      <c r="B1138" s="12">
        <f>B1137+1</f>
        <v>148</v>
      </c>
      <c r="C1138" s="12">
        <f>B1137+20</f>
        <v>167</v>
      </c>
      <c r="D1138" s="12">
        <f>C1138+1</f>
        <v>168</v>
      </c>
    </row>
    <row r="1139" spans="1:4" x14ac:dyDescent="0.25">
      <c r="A1139" t="s">
        <v>75</v>
      </c>
      <c r="B1139" s="12">
        <f>B1138</f>
        <v>148</v>
      </c>
      <c r="C1139" s="12">
        <f>B1139+1</f>
        <v>149</v>
      </c>
      <c r="D1139" s="12">
        <f>B1139+20</f>
        <v>168</v>
      </c>
    </row>
    <row r="1140" spans="1:4" x14ac:dyDescent="0.25">
      <c r="A1140" t="s">
        <v>75</v>
      </c>
      <c r="B1140" s="12">
        <f>B1139+1</f>
        <v>149</v>
      </c>
      <c r="C1140" s="12">
        <f>B1139+20</f>
        <v>168</v>
      </c>
      <c r="D1140" s="12">
        <f>C1140+1</f>
        <v>169</v>
      </c>
    </row>
    <row r="1141" spans="1:4" x14ac:dyDescent="0.25">
      <c r="A1141" t="s">
        <v>75</v>
      </c>
      <c r="B1141" s="12">
        <f>B1140</f>
        <v>149</v>
      </c>
      <c r="C1141" s="12">
        <f>B1141+1</f>
        <v>150</v>
      </c>
      <c r="D1141" s="12">
        <f>B1141+20</f>
        <v>169</v>
      </c>
    </row>
    <row r="1142" spans="1:4" x14ac:dyDescent="0.25">
      <c r="A1142" t="s">
        <v>75</v>
      </c>
      <c r="B1142" s="12">
        <f>B1141+1</f>
        <v>150</v>
      </c>
      <c r="C1142" s="12">
        <f>B1141+20</f>
        <v>169</v>
      </c>
      <c r="D1142" s="12">
        <f>C1142+1</f>
        <v>170</v>
      </c>
    </row>
    <row r="1143" spans="1:4" x14ac:dyDescent="0.25">
      <c r="A1143" t="s">
        <v>75</v>
      </c>
      <c r="B1143" s="12">
        <f>B1142</f>
        <v>150</v>
      </c>
      <c r="C1143" s="12">
        <f>B1143+1</f>
        <v>151</v>
      </c>
      <c r="D1143" s="12">
        <f>B1143+20</f>
        <v>170</v>
      </c>
    </row>
    <row r="1144" spans="1:4" x14ac:dyDescent="0.25">
      <c r="A1144" t="s">
        <v>75</v>
      </c>
      <c r="B1144" s="12">
        <f>B1143+1</f>
        <v>151</v>
      </c>
      <c r="C1144" s="12">
        <f>B1143+20</f>
        <v>170</v>
      </c>
      <c r="D1144" s="12">
        <f>C1144+1</f>
        <v>171</v>
      </c>
    </row>
    <row r="1145" spans="1:4" x14ac:dyDescent="0.25">
      <c r="A1145" t="s">
        <v>75</v>
      </c>
      <c r="B1145" s="12">
        <f>B1144</f>
        <v>151</v>
      </c>
      <c r="C1145" s="12">
        <f>B1145+1</f>
        <v>152</v>
      </c>
      <c r="D1145" s="12">
        <f>B1145+20</f>
        <v>171</v>
      </c>
    </row>
    <row r="1146" spans="1:4" x14ac:dyDescent="0.25">
      <c r="A1146" t="s">
        <v>75</v>
      </c>
      <c r="B1146" s="12">
        <f>B1145+1</f>
        <v>152</v>
      </c>
      <c r="C1146" s="12">
        <f>B1145+20</f>
        <v>171</v>
      </c>
      <c r="D1146" s="12">
        <f>C1146+1</f>
        <v>172</v>
      </c>
    </row>
    <row r="1147" spans="1:4" x14ac:dyDescent="0.25">
      <c r="A1147" t="s">
        <v>75</v>
      </c>
      <c r="B1147" s="12">
        <f>B1146</f>
        <v>152</v>
      </c>
      <c r="C1147" s="12">
        <f>B1147+1</f>
        <v>153</v>
      </c>
      <c r="D1147" s="12">
        <f>B1147+20</f>
        <v>172</v>
      </c>
    </row>
    <row r="1148" spans="1:4" x14ac:dyDescent="0.25">
      <c r="A1148" t="s">
        <v>75</v>
      </c>
      <c r="B1148" s="12">
        <f>B1147+1</f>
        <v>153</v>
      </c>
      <c r="C1148" s="12">
        <f>B1147+20</f>
        <v>172</v>
      </c>
      <c r="D1148" s="12">
        <f>C1148+1</f>
        <v>173</v>
      </c>
    </row>
    <row r="1149" spans="1:4" x14ac:dyDescent="0.25">
      <c r="A1149" t="s">
        <v>75</v>
      </c>
      <c r="B1149" s="12">
        <f>B1148</f>
        <v>153</v>
      </c>
      <c r="C1149" s="12">
        <f>B1149+1</f>
        <v>154</v>
      </c>
      <c r="D1149" s="12">
        <f>B1149+20</f>
        <v>173</v>
      </c>
    </row>
    <row r="1150" spans="1:4" x14ac:dyDescent="0.25">
      <c r="A1150" t="s">
        <v>75</v>
      </c>
      <c r="B1150" s="12">
        <f>B1149+1</f>
        <v>154</v>
      </c>
      <c r="C1150" s="12">
        <f>B1149+20</f>
        <v>173</v>
      </c>
      <c r="D1150" s="12">
        <f>C1150+1</f>
        <v>174</v>
      </c>
    </row>
    <row r="1151" spans="1:4" x14ac:dyDescent="0.25">
      <c r="A1151" t="s">
        <v>75</v>
      </c>
      <c r="B1151" s="12">
        <f>B1150</f>
        <v>154</v>
      </c>
      <c r="C1151" s="12">
        <f>B1151+1</f>
        <v>155</v>
      </c>
      <c r="D1151" s="12">
        <f>B1151+20</f>
        <v>174</v>
      </c>
    </row>
    <row r="1152" spans="1:4" x14ac:dyDescent="0.25">
      <c r="A1152" t="s">
        <v>75</v>
      </c>
      <c r="B1152" s="12">
        <f>B1151+1</f>
        <v>155</v>
      </c>
      <c r="C1152" s="12">
        <f>B1151+20</f>
        <v>174</v>
      </c>
      <c r="D1152" s="12">
        <f>C1152+1</f>
        <v>175</v>
      </c>
    </row>
    <row r="1153" spans="1:4" x14ac:dyDescent="0.25">
      <c r="A1153" t="s">
        <v>75</v>
      </c>
      <c r="B1153" s="12">
        <f>B1152</f>
        <v>155</v>
      </c>
      <c r="C1153" s="12">
        <f>B1153+1</f>
        <v>156</v>
      </c>
      <c r="D1153" s="12">
        <f>B1153+20</f>
        <v>175</v>
      </c>
    </row>
    <row r="1154" spans="1:4" x14ac:dyDescent="0.25">
      <c r="A1154" t="s">
        <v>75</v>
      </c>
      <c r="B1154" s="12">
        <f>B1153+1</f>
        <v>156</v>
      </c>
      <c r="C1154" s="12">
        <f>B1153+20</f>
        <v>175</v>
      </c>
      <c r="D1154" s="12">
        <f>C1154+1</f>
        <v>176</v>
      </c>
    </row>
    <row r="1155" spans="1:4" x14ac:dyDescent="0.25">
      <c r="A1155" t="s">
        <v>75</v>
      </c>
      <c r="B1155" s="12">
        <f>B1154</f>
        <v>156</v>
      </c>
      <c r="C1155" s="12">
        <f>B1155+1</f>
        <v>157</v>
      </c>
      <c r="D1155" s="12">
        <f>B1155+20</f>
        <v>176</v>
      </c>
    </row>
    <row r="1156" spans="1:4" x14ac:dyDescent="0.25">
      <c r="A1156" t="s">
        <v>75</v>
      </c>
      <c r="B1156" s="12">
        <f>B1155+1</f>
        <v>157</v>
      </c>
      <c r="C1156" s="12">
        <f>B1155+20</f>
        <v>176</v>
      </c>
      <c r="D1156" s="12">
        <f>C1156+1</f>
        <v>177</v>
      </c>
    </row>
    <row r="1157" spans="1:4" x14ac:dyDescent="0.25">
      <c r="A1157" t="s">
        <v>75</v>
      </c>
      <c r="B1157" s="12">
        <f>B1156</f>
        <v>157</v>
      </c>
      <c r="C1157" s="12">
        <f>B1157+1</f>
        <v>158</v>
      </c>
      <c r="D1157" s="12">
        <f>B1157+20</f>
        <v>177</v>
      </c>
    </row>
    <row r="1158" spans="1:4" x14ac:dyDescent="0.25">
      <c r="A1158" t="s">
        <v>75</v>
      </c>
      <c r="B1158" s="12">
        <f>B1157+1</f>
        <v>158</v>
      </c>
      <c r="C1158" s="12">
        <f>B1157+20</f>
        <v>177</v>
      </c>
      <c r="D1158" s="12">
        <f>C1158+1</f>
        <v>178</v>
      </c>
    </row>
    <row r="1159" spans="1:4" x14ac:dyDescent="0.25">
      <c r="A1159" t="s">
        <v>75</v>
      </c>
      <c r="B1159" s="12">
        <f>B1158</f>
        <v>158</v>
      </c>
      <c r="C1159" s="12">
        <f>B1159+1</f>
        <v>159</v>
      </c>
      <c r="D1159" s="12">
        <f>B1159+20</f>
        <v>178</v>
      </c>
    </row>
    <row r="1160" spans="1:4" x14ac:dyDescent="0.25">
      <c r="A1160" t="s">
        <v>75</v>
      </c>
      <c r="B1160" s="12">
        <f>B1159+1</f>
        <v>159</v>
      </c>
      <c r="C1160" s="12">
        <f>B1159+20</f>
        <v>178</v>
      </c>
      <c r="D1160" s="12">
        <f>C1160+1</f>
        <v>179</v>
      </c>
    </row>
    <row r="1161" spans="1:4" x14ac:dyDescent="0.25">
      <c r="A1161" t="s">
        <v>75</v>
      </c>
      <c r="B1161" s="12">
        <f>B1160</f>
        <v>159</v>
      </c>
      <c r="C1161" s="12">
        <f>B1161+1</f>
        <v>160</v>
      </c>
      <c r="D1161" s="12">
        <f>B1161+20</f>
        <v>179</v>
      </c>
    </row>
    <row r="1162" spans="1:4" x14ac:dyDescent="0.25">
      <c r="A1162" t="s">
        <v>75</v>
      </c>
      <c r="B1162" s="12">
        <f>B1161+1</f>
        <v>160</v>
      </c>
      <c r="C1162" s="12">
        <f>B1161+20</f>
        <v>179</v>
      </c>
      <c r="D1162" s="12">
        <f>C1162+1</f>
        <v>180</v>
      </c>
    </row>
    <row r="1163" spans="1:4" x14ac:dyDescent="0.25">
      <c r="A1163" t="s">
        <v>75</v>
      </c>
      <c r="B1163" s="12">
        <f>B1162</f>
        <v>160</v>
      </c>
      <c r="C1163" s="12">
        <f>B1163+1</f>
        <v>161</v>
      </c>
      <c r="D1163" s="12">
        <f>B1163+20</f>
        <v>180</v>
      </c>
    </row>
    <row r="1164" spans="1:4" x14ac:dyDescent="0.25">
      <c r="A1164" t="s">
        <v>75</v>
      </c>
      <c r="B1164" s="12">
        <f>B1163+1</f>
        <v>161</v>
      </c>
      <c r="C1164" s="12">
        <f>B1163+20</f>
        <v>180</v>
      </c>
      <c r="D1164" s="12">
        <f>C1164+1</f>
        <v>181</v>
      </c>
    </row>
    <row r="1165" spans="1:4" x14ac:dyDescent="0.25">
      <c r="A1165" t="s">
        <v>75</v>
      </c>
      <c r="B1165" s="12">
        <f>B1164</f>
        <v>161</v>
      </c>
      <c r="C1165" s="12">
        <f>B1165+1</f>
        <v>162</v>
      </c>
      <c r="D1165" s="12">
        <f>B1165+20</f>
        <v>181</v>
      </c>
    </row>
    <row r="1166" spans="1:4" x14ac:dyDescent="0.25">
      <c r="A1166" t="s">
        <v>75</v>
      </c>
      <c r="B1166" s="12">
        <f>B1165+1</f>
        <v>162</v>
      </c>
      <c r="C1166" s="12">
        <f>B1165+20</f>
        <v>181</v>
      </c>
      <c r="D1166" s="12">
        <f>C1166+1</f>
        <v>182</v>
      </c>
    </row>
    <row r="1167" spans="1:4" x14ac:dyDescent="0.25">
      <c r="A1167" t="s">
        <v>75</v>
      </c>
      <c r="B1167" s="12">
        <f>B1166</f>
        <v>162</v>
      </c>
      <c r="C1167" s="12">
        <f>B1167+1</f>
        <v>163</v>
      </c>
      <c r="D1167" s="12">
        <f>B1167+20</f>
        <v>182</v>
      </c>
    </row>
    <row r="1168" spans="1:4" x14ac:dyDescent="0.25">
      <c r="A1168" t="s">
        <v>75</v>
      </c>
      <c r="B1168" s="12">
        <f>B1167+1</f>
        <v>163</v>
      </c>
      <c r="C1168" s="12">
        <f>B1167+20</f>
        <v>182</v>
      </c>
      <c r="D1168" s="12">
        <f>C1168+1</f>
        <v>183</v>
      </c>
    </row>
    <row r="1169" spans="1:4" x14ac:dyDescent="0.25">
      <c r="A1169" t="s">
        <v>75</v>
      </c>
      <c r="B1169" s="12">
        <f>B1168</f>
        <v>163</v>
      </c>
      <c r="C1169" s="12">
        <f>B1169+1</f>
        <v>164</v>
      </c>
      <c r="D1169" s="12">
        <f>B1169+20</f>
        <v>183</v>
      </c>
    </row>
    <row r="1170" spans="1:4" x14ac:dyDescent="0.25">
      <c r="A1170" t="s">
        <v>75</v>
      </c>
      <c r="B1170" s="12">
        <f>B1169+1</f>
        <v>164</v>
      </c>
      <c r="C1170" s="12">
        <f>B1169+20</f>
        <v>183</v>
      </c>
      <c r="D1170" s="12">
        <f>C1170+1</f>
        <v>184</v>
      </c>
    </row>
    <row r="1171" spans="1:4" x14ac:dyDescent="0.25">
      <c r="A1171" t="s">
        <v>75</v>
      </c>
      <c r="B1171" s="12">
        <f>B1170</f>
        <v>164</v>
      </c>
      <c r="C1171" s="12">
        <f>B1171+1</f>
        <v>165</v>
      </c>
      <c r="D1171" s="12">
        <f>B1171+20</f>
        <v>184</v>
      </c>
    </row>
    <row r="1172" spans="1:4" x14ac:dyDescent="0.25">
      <c r="A1172" t="s">
        <v>75</v>
      </c>
      <c r="B1172" s="12">
        <f>B1171+1</f>
        <v>165</v>
      </c>
      <c r="C1172" s="12">
        <f>B1171+20</f>
        <v>184</v>
      </c>
      <c r="D1172" s="12">
        <f>C1172+1</f>
        <v>185</v>
      </c>
    </row>
    <row r="1173" spans="1:4" x14ac:dyDescent="0.25">
      <c r="A1173" t="s">
        <v>75</v>
      </c>
      <c r="B1173" s="12">
        <f>B1172</f>
        <v>165</v>
      </c>
      <c r="C1173" s="12">
        <f>B1173+1</f>
        <v>166</v>
      </c>
      <c r="D1173" s="12">
        <f>B1173+20</f>
        <v>185</v>
      </c>
    </row>
    <row r="1174" spans="1:4" x14ac:dyDescent="0.25">
      <c r="A1174" t="s">
        <v>75</v>
      </c>
      <c r="B1174" s="12">
        <f>B1173+1</f>
        <v>166</v>
      </c>
      <c r="C1174" s="12">
        <f>B1173+20</f>
        <v>185</v>
      </c>
      <c r="D1174" s="12">
        <f>C1174+1</f>
        <v>186</v>
      </c>
    </row>
    <row r="1175" spans="1:4" x14ac:dyDescent="0.25">
      <c r="A1175" t="s">
        <v>75</v>
      </c>
      <c r="B1175" s="12">
        <f>B1174</f>
        <v>166</v>
      </c>
      <c r="C1175" s="12">
        <f>B1175+1</f>
        <v>167</v>
      </c>
      <c r="D1175" s="12">
        <f>B1175+20</f>
        <v>186</v>
      </c>
    </row>
    <row r="1176" spans="1:4" x14ac:dyDescent="0.25">
      <c r="A1176" t="s">
        <v>75</v>
      </c>
      <c r="B1176" s="12">
        <f>B1175+1</f>
        <v>167</v>
      </c>
      <c r="C1176" s="12">
        <f>B1175+20</f>
        <v>186</v>
      </c>
      <c r="D1176" s="12">
        <f>C1176+1</f>
        <v>187</v>
      </c>
    </row>
    <row r="1177" spans="1:4" x14ac:dyDescent="0.25">
      <c r="A1177" t="s">
        <v>75</v>
      </c>
      <c r="B1177" s="12">
        <f>B1176</f>
        <v>167</v>
      </c>
      <c r="C1177" s="12">
        <f>B1177+1</f>
        <v>168</v>
      </c>
      <c r="D1177" s="12">
        <f>B1177+20</f>
        <v>187</v>
      </c>
    </row>
    <row r="1178" spans="1:4" x14ac:dyDescent="0.25">
      <c r="A1178" t="s">
        <v>75</v>
      </c>
      <c r="B1178" s="12">
        <f>B1177+1</f>
        <v>168</v>
      </c>
      <c r="C1178" s="12">
        <f>B1177+20</f>
        <v>187</v>
      </c>
      <c r="D1178" s="12">
        <f>C1178+1</f>
        <v>188</v>
      </c>
    </row>
    <row r="1179" spans="1:4" x14ac:dyDescent="0.25">
      <c r="A1179" t="s">
        <v>75</v>
      </c>
      <c r="B1179" s="12">
        <f>B1178</f>
        <v>168</v>
      </c>
      <c r="C1179" s="12">
        <f>B1179+1</f>
        <v>169</v>
      </c>
      <c r="D1179" s="12">
        <f>B1179+20</f>
        <v>188</v>
      </c>
    </row>
    <row r="1180" spans="1:4" x14ac:dyDescent="0.25">
      <c r="A1180" t="s">
        <v>75</v>
      </c>
      <c r="B1180" s="12">
        <f>B1179+1</f>
        <v>169</v>
      </c>
      <c r="C1180" s="12">
        <f>B1179+20</f>
        <v>188</v>
      </c>
      <c r="D1180" s="12">
        <f>C1180+1</f>
        <v>189</v>
      </c>
    </row>
    <row r="1181" spans="1:4" x14ac:dyDescent="0.25">
      <c r="A1181" t="s">
        <v>75</v>
      </c>
      <c r="B1181" s="12">
        <f>B1180</f>
        <v>169</v>
      </c>
      <c r="C1181" s="12">
        <f>B1181+1</f>
        <v>170</v>
      </c>
      <c r="D1181" s="12">
        <f>B1181+20</f>
        <v>189</v>
      </c>
    </row>
    <row r="1182" spans="1:4" x14ac:dyDescent="0.25">
      <c r="A1182" t="s">
        <v>75</v>
      </c>
      <c r="B1182" s="12">
        <f>B1181+1</f>
        <v>170</v>
      </c>
      <c r="C1182" s="12">
        <f>B1181+20</f>
        <v>189</v>
      </c>
      <c r="D1182" s="12">
        <f>C1182+1</f>
        <v>190</v>
      </c>
    </row>
    <row r="1183" spans="1:4" x14ac:dyDescent="0.25">
      <c r="A1183" t="s">
        <v>75</v>
      </c>
      <c r="B1183" s="12">
        <f>B1182</f>
        <v>170</v>
      </c>
      <c r="C1183" s="12">
        <f>B1183+1</f>
        <v>171</v>
      </c>
      <c r="D1183" s="12">
        <f>B1183+20</f>
        <v>190</v>
      </c>
    </row>
    <row r="1184" spans="1:4" x14ac:dyDescent="0.25">
      <c r="A1184" t="s">
        <v>75</v>
      </c>
      <c r="B1184" s="12">
        <f>B1183+1</f>
        <v>171</v>
      </c>
      <c r="C1184" s="12">
        <f>B1183+20</f>
        <v>190</v>
      </c>
      <c r="D1184" s="12">
        <f>C1184+1</f>
        <v>191</v>
      </c>
    </row>
    <row r="1185" spans="1:4" x14ac:dyDescent="0.25">
      <c r="A1185" t="s">
        <v>75</v>
      </c>
      <c r="B1185" s="12">
        <f>B1184</f>
        <v>171</v>
      </c>
      <c r="C1185" s="12">
        <f>B1185+1</f>
        <v>172</v>
      </c>
      <c r="D1185" s="12">
        <f>B1185+20</f>
        <v>191</v>
      </c>
    </row>
    <row r="1186" spans="1:4" x14ac:dyDescent="0.25">
      <c r="A1186" t="s">
        <v>75</v>
      </c>
      <c r="B1186" s="12">
        <f>B1185+1</f>
        <v>172</v>
      </c>
      <c r="C1186" s="12">
        <f>B1185+20</f>
        <v>191</v>
      </c>
      <c r="D1186" s="12">
        <f>C1186+1</f>
        <v>192</v>
      </c>
    </row>
    <row r="1187" spans="1:4" x14ac:dyDescent="0.25">
      <c r="A1187" t="s">
        <v>75</v>
      </c>
      <c r="B1187" s="12">
        <f>B1186</f>
        <v>172</v>
      </c>
      <c r="C1187" s="12">
        <f>B1187+1</f>
        <v>173</v>
      </c>
      <c r="D1187" s="12">
        <f>B1187+20</f>
        <v>192</v>
      </c>
    </row>
    <row r="1188" spans="1:4" x14ac:dyDescent="0.25">
      <c r="A1188" t="s">
        <v>75</v>
      </c>
      <c r="B1188" s="12">
        <f>B1187+1</f>
        <v>173</v>
      </c>
      <c r="C1188" s="12">
        <f>B1187+20</f>
        <v>192</v>
      </c>
      <c r="D1188" s="12">
        <f>C1188+1</f>
        <v>193</v>
      </c>
    </row>
    <row r="1189" spans="1:4" x14ac:dyDescent="0.25">
      <c r="A1189" t="s">
        <v>75</v>
      </c>
      <c r="B1189" s="12">
        <f>B1188</f>
        <v>173</v>
      </c>
      <c r="C1189" s="12">
        <f>B1189+1</f>
        <v>174</v>
      </c>
      <c r="D1189" s="12">
        <f>B1189+20</f>
        <v>193</v>
      </c>
    </row>
    <row r="1190" spans="1:4" x14ac:dyDescent="0.25">
      <c r="A1190" t="s">
        <v>75</v>
      </c>
      <c r="B1190" s="12">
        <f>B1189+1</f>
        <v>174</v>
      </c>
      <c r="C1190" s="12">
        <f>B1189+20</f>
        <v>193</v>
      </c>
      <c r="D1190" s="12">
        <f>C1190+1</f>
        <v>194</v>
      </c>
    </row>
    <row r="1191" spans="1:4" x14ac:dyDescent="0.25">
      <c r="A1191" t="s">
        <v>75</v>
      </c>
      <c r="B1191" s="12">
        <f>B1190</f>
        <v>174</v>
      </c>
      <c r="C1191" s="12">
        <f>B1191+1</f>
        <v>175</v>
      </c>
      <c r="D1191" s="12">
        <f>B1191+20</f>
        <v>194</v>
      </c>
    </row>
    <row r="1192" spans="1:4" x14ac:dyDescent="0.25">
      <c r="A1192" t="s">
        <v>75</v>
      </c>
      <c r="B1192" s="12">
        <f>B1191+1</f>
        <v>175</v>
      </c>
      <c r="C1192" s="12">
        <f>B1191+20</f>
        <v>194</v>
      </c>
      <c r="D1192" s="12">
        <f>C1192+1</f>
        <v>195</v>
      </c>
    </row>
    <row r="1193" spans="1:4" x14ac:dyDescent="0.25">
      <c r="A1193" t="s">
        <v>75</v>
      </c>
      <c r="B1193" s="12">
        <f>B1192</f>
        <v>175</v>
      </c>
      <c r="C1193" s="12">
        <f>B1193+1</f>
        <v>176</v>
      </c>
      <c r="D1193" s="12">
        <f>B1193+20</f>
        <v>195</v>
      </c>
    </row>
    <row r="1194" spans="1:4" x14ac:dyDescent="0.25">
      <c r="A1194" t="s">
        <v>75</v>
      </c>
      <c r="B1194" s="12">
        <f>B1193+1</f>
        <v>176</v>
      </c>
      <c r="C1194" s="12">
        <f>B1193+20</f>
        <v>195</v>
      </c>
      <c r="D1194" s="12">
        <f>C1194+1</f>
        <v>196</v>
      </c>
    </row>
    <row r="1195" spans="1:4" x14ac:dyDescent="0.25">
      <c r="A1195" t="s">
        <v>75</v>
      </c>
      <c r="B1195" s="12">
        <f>B1194</f>
        <v>176</v>
      </c>
      <c r="C1195" s="12">
        <f>B1195+1</f>
        <v>177</v>
      </c>
      <c r="D1195" s="12">
        <f>B1195+20</f>
        <v>196</v>
      </c>
    </row>
    <row r="1196" spans="1:4" x14ac:dyDescent="0.25">
      <c r="A1196" t="s">
        <v>75</v>
      </c>
      <c r="B1196" s="12">
        <f>B1195+1</f>
        <v>177</v>
      </c>
      <c r="C1196" s="12">
        <f>B1195+20</f>
        <v>196</v>
      </c>
      <c r="D1196" s="12">
        <f>C1196+1</f>
        <v>197</v>
      </c>
    </row>
    <row r="1197" spans="1:4" x14ac:dyDescent="0.25">
      <c r="A1197" t="s">
        <v>75</v>
      </c>
      <c r="B1197" s="12">
        <f>B1196</f>
        <v>177</v>
      </c>
      <c r="C1197" s="12">
        <f>B1197+1</f>
        <v>178</v>
      </c>
      <c r="D1197" s="12">
        <f>B1197+20</f>
        <v>197</v>
      </c>
    </row>
    <row r="1198" spans="1:4" x14ac:dyDescent="0.25">
      <c r="A1198" t="s">
        <v>75</v>
      </c>
      <c r="B1198" s="12">
        <f>B1197+1</f>
        <v>178</v>
      </c>
      <c r="C1198" s="12">
        <f>B1197+20</f>
        <v>197</v>
      </c>
      <c r="D1198" s="12">
        <f>C1198+1</f>
        <v>198</v>
      </c>
    </row>
    <row r="1199" spans="1:4" x14ac:dyDescent="0.25">
      <c r="A1199" t="s">
        <v>75</v>
      </c>
      <c r="B1199" s="12">
        <f>B1198</f>
        <v>178</v>
      </c>
      <c r="C1199" s="12">
        <f>B1199+1</f>
        <v>179</v>
      </c>
      <c r="D1199" s="12">
        <f>B1199+20</f>
        <v>198</v>
      </c>
    </row>
    <row r="1200" spans="1:4" x14ac:dyDescent="0.25">
      <c r="A1200" t="s">
        <v>75</v>
      </c>
      <c r="B1200" s="12">
        <f>B1199+1</f>
        <v>179</v>
      </c>
      <c r="C1200" s="12">
        <f>B1199+20</f>
        <v>198</v>
      </c>
      <c r="D1200" s="12">
        <f>C1200+1</f>
        <v>199</v>
      </c>
    </row>
    <row r="1201" spans="1:4" x14ac:dyDescent="0.25">
      <c r="A1201" t="s">
        <v>75</v>
      </c>
      <c r="B1201" s="12">
        <f>B1200</f>
        <v>179</v>
      </c>
      <c r="C1201" s="12">
        <f>B1201+1</f>
        <v>180</v>
      </c>
      <c r="D1201" s="12">
        <f>B1201+20</f>
        <v>199</v>
      </c>
    </row>
    <row r="1202" spans="1:4" x14ac:dyDescent="0.25">
      <c r="A1202" t="s">
        <v>75</v>
      </c>
      <c r="B1202" s="12">
        <f>B1201+1</f>
        <v>180</v>
      </c>
      <c r="C1202" s="12">
        <f>B1201+20</f>
        <v>199</v>
      </c>
      <c r="D1202" s="12">
        <f>C1202+1</f>
        <v>200</v>
      </c>
    </row>
    <row r="1203" spans="1:4" x14ac:dyDescent="0.25">
      <c r="A1203" t="s">
        <v>75</v>
      </c>
      <c r="B1203" s="12">
        <f>B1202</f>
        <v>180</v>
      </c>
      <c r="C1203" s="12">
        <f>B1203+1</f>
        <v>181</v>
      </c>
      <c r="D1203" s="12">
        <f>B1203+20</f>
        <v>200</v>
      </c>
    </row>
    <row r="1204" spans="1:4" x14ac:dyDescent="0.25">
      <c r="A1204" t="s">
        <v>75</v>
      </c>
      <c r="B1204" s="12">
        <f>B1203+1</f>
        <v>181</v>
      </c>
      <c r="C1204" s="12">
        <f>B1203+20</f>
        <v>200</v>
      </c>
      <c r="D1204" s="12">
        <f>C1204+1</f>
        <v>201</v>
      </c>
    </row>
    <row r="1205" spans="1:4" x14ac:dyDescent="0.25">
      <c r="A1205" t="s">
        <v>75</v>
      </c>
      <c r="B1205" s="12">
        <f>B1204</f>
        <v>181</v>
      </c>
      <c r="C1205" s="12">
        <f>B1205+1</f>
        <v>182</v>
      </c>
      <c r="D1205" s="12">
        <f>B1205+20</f>
        <v>201</v>
      </c>
    </row>
    <row r="1206" spans="1:4" x14ac:dyDescent="0.25">
      <c r="A1206" t="s">
        <v>75</v>
      </c>
      <c r="B1206" s="12">
        <f>B1205+1</f>
        <v>182</v>
      </c>
      <c r="C1206" s="12">
        <f>B1205+20</f>
        <v>201</v>
      </c>
      <c r="D1206" s="12">
        <f>C1206+1</f>
        <v>202</v>
      </c>
    </row>
    <row r="1207" spans="1:4" x14ac:dyDescent="0.25">
      <c r="A1207" t="s">
        <v>75</v>
      </c>
      <c r="B1207" s="12">
        <f>B1206</f>
        <v>182</v>
      </c>
      <c r="C1207" s="12">
        <f>B1207+1</f>
        <v>183</v>
      </c>
      <c r="D1207" s="12">
        <f>B1207+20</f>
        <v>202</v>
      </c>
    </row>
    <row r="1208" spans="1:4" x14ac:dyDescent="0.25">
      <c r="A1208" t="s">
        <v>75</v>
      </c>
      <c r="B1208" s="12">
        <f>B1207+1</f>
        <v>183</v>
      </c>
      <c r="C1208" s="12">
        <f>B1207+20</f>
        <v>202</v>
      </c>
      <c r="D1208" s="12">
        <f>C1208+1</f>
        <v>203</v>
      </c>
    </row>
    <row r="1209" spans="1:4" x14ac:dyDescent="0.25">
      <c r="A1209" t="s">
        <v>75</v>
      </c>
      <c r="B1209" s="12">
        <f>B1208</f>
        <v>183</v>
      </c>
      <c r="C1209" s="12">
        <f>B1209+1</f>
        <v>184</v>
      </c>
      <c r="D1209" s="12">
        <f>B1209+20</f>
        <v>203</v>
      </c>
    </row>
    <row r="1210" spans="1:4" x14ac:dyDescent="0.25">
      <c r="A1210" t="s">
        <v>75</v>
      </c>
      <c r="B1210" s="12">
        <f>B1209+1</f>
        <v>184</v>
      </c>
      <c r="C1210" s="12">
        <f>B1209+20</f>
        <v>203</v>
      </c>
      <c r="D1210" s="12">
        <f>C1210+1</f>
        <v>204</v>
      </c>
    </row>
    <row r="1211" spans="1:4" x14ac:dyDescent="0.25">
      <c r="A1211" t="s">
        <v>75</v>
      </c>
      <c r="B1211" s="12">
        <f>B1210</f>
        <v>184</v>
      </c>
      <c r="C1211" s="12">
        <f>B1211+1</f>
        <v>185</v>
      </c>
      <c r="D1211" s="12">
        <f>B1211+20</f>
        <v>204</v>
      </c>
    </row>
    <row r="1212" spans="1:4" x14ac:dyDescent="0.25">
      <c r="A1212" t="s">
        <v>75</v>
      </c>
      <c r="B1212" s="12">
        <f>B1211+1</f>
        <v>185</v>
      </c>
      <c r="C1212" s="12">
        <f>B1211+20</f>
        <v>204</v>
      </c>
      <c r="D1212" s="12">
        <f>C1212+1</f>
        <v>205</v>
      </c>
    </row>
    <row r="1213" spans="1:4" x14ac:dyDescent="0.25">
      <c r="A1213" t="s">
        <v>75</v>
      </c>
      <c r="B1213" s="12">
        <f>B1212</f>
        <v>185</v>
      </c>
      <c r="C1213" s="12">
        <f>B1213+1</f>
        <v>186</v>
      </c>
      <c r="D1213" s="12">
        <f>B1213+20</f>
        <v>205</v>
      </c>
    </row>
    <row r="1214" spans="1:4" x14ac:dyDescent="0.25">
      <c r="A1214" t="s">
        <v>75</v>
      </c>
      <c r="B1214" s="12">
        <f>B1213+1</f>
        <v>186</v>
      </c>
      <c r="C1214" s="12">
        <f>B1213+20</f>
        <v>205</v>
      </c>
      <c r="D1214" s="12">
        <f>C1214+1</f>
        <v>206</v>
      </c>
    </row>
    <row r="1215" spans="1:4" x14ac:dyDescent="0.25">
      <c r="A1215" t="s">
        <v>75</v>
      </c>
      <c r="B1215" s="12">
        <f>B1214</f>
        <v>186</v>
      </c>
      <c r="C1215" s="12">
        <f>B1215+1</f>
        <v>187</v>
      </c>
      <c r="D1215" s="12">
        <f>B1215+20</f>
        <v>206</v>
      </c>
    </row>
    <row r="1216" spans="1:4" x14ac:dyDescent="0.25">
      <c r="A1216" t="s">
        <v>75</v>
      </c>
      <c r="B1216" s="12">
        <f>B1215+1</f>
        <v>187</v>
      </c>
      <c r="C1216" s="12">
        <f>B1215+20</f>
        <v>206</v>
      </c>
      <c r="D1216" s="12">
        <f>C1216+1</f>
        <v>207</v>
      </c>
    </row>
    <row r="1217" spans="1:4" x14ac:dyDescent="0.25">
      <c r="A1217" t="s">
        <v>75</v>
      </c>
      <c r="B1217" s="12">
        <f>B1216</f>
        <v>187</v>
      </c>
      <c r="C1217" s="12">
        <f>B1217+1</f>
        <v>188</v>
      </c>
      <c r="D1217" s="12">
        <f>B1217+20</f>
        <v>207</v>
      </c>
    </row>
    <row r="1218" spans="1:4" x14ac:dyDescent="0.25">
      <c r="A1218" t="s">
        <v>75</v>
      </c>
      <c r="B1218" s="12">
        <f>B1217+1</f>
        <v>188</v>
      </c>
      <c r="C1218" s="12">
        <f>B1217+20</f>
        <v>207</v>
      </c>
      <c r="D1218" s="12">
        <f>C1218+1</f>
        <v>208</v>
      </c>
    </row>
    <row r="1219" spans="1:4" x14ac:dyDescent="0.25">
      <c r="A1219" t="s">
        <v>75</v>
      </c>
      <c r="B1219" s="12">
        <f>B1218</f>
        <v>188</v>
      </c>
      <c r="C1219" s="12">
        <f>B1219+1</f>
        <v>189</v>
      </c>
      <c r="D1219" s="12">
        <f>B1219+20</f>
        <v>208</v>
      </c>
    </row>
    <row r="1220" spans="1:4" x14ac:dyDescent="0.25">
      <c r="A1220" t="s">
        <v>75</v>
      </c>
      <c r="B1220" s="12">
        <f>B1219+1</f>
        <v>189</v>
      </c>
      <c r="C1220" s="12">
        <f>B1219+20</f>
        <v>208</v>
      </c>
      <c r="D1220" s="12">
        <f>C1220+1</f>
        <v>209</v>
      </c>
    </row>
    <row r="1221" spans="1:4" x14ac:dyDescent="0.25">
      <c r="A1221" t="s">
        <v>75</v>
      </c>
      <c r="B1221" s="12">
        <f>B1220</f>
        <v>189</v>
      </c>
      <c r="C1221" s="12">
        <f>B1221+1</f>
        <v>190</v>
      </c>
      <c r="D1221" s="12">
        <f>B1221+20</f>
        <v>209</v>
      </c>
    </row>
    <row r="1222" spans="1:4" x14ac:dyDescent="0.25">
      <c r="A1222" t="s">
        <v>75</v>
      </c>
      <c r="B1222" s="12">
        <f>B1221+1</f>
        <v>190</v>
      </c>
      <c r="C1222" s="12">
        <f>B1221+20</f>
        <v>209</v>
      </c>
      <c r="D1222" s="12">
        <f>C1222+1</f>
        <v>210</v>
      </c>
    </row>
    <row r="1223" spans="1:4" x14ac:dyDescent="0.25">
      <c r="A1223" t="s">
        <v>75</v>
      </c>
      <c r="B1223" s="12">
        <f>B1222</f>
        <v>190</v>
      </c>
      <c r="C1223" s="12">
        <f>B1223+1</f>
        <v>191</v>
      </c>
      <c r="D1223" s="12">
        <f>B1223+20</f>
        <v>210</v>
      </c>
    </row>
    <row r="1224" spans="1:4" x14ac:dyDescent="0.25">
      <c r="A1224" t="s">
        <v>75</v>
      </c>
      <c r="B1224" s="12">
        <f>B1223+1</f>
        <v>191</v>
      </c>
      <c r="C1224" s="12">
        <f>B1223+20</f>
        <v>210</v>
      </c>
      <c r="D1224" s="12">
        <f>C1224+1</f>
        <v>211</v>
      </c>
    </row>
    <row r="1225" spans="1:4" x14ac:dyDescent="0.25">
      <c r="A1225" t="s">
        <v>75</v>
      </c>
      <c r="B1225" s="12">
        <f>B1224</f>
        <v>191</v>
      </c>
      <c r="C1225" s="12">
        <f>B1225+1</f>
        <v>192</v>
      </c>
      <c r="D1225" s="12">
        <f>B1225+20</f>
        <v>211</v>
      </c>
    </row>
    <row r="1226" spans="1:4" x14ac:dyDescent="0.25">
      <c r="A1226" t="s">
        <v>75</v>
      </c>
      <c r="B1226" s="12">
        <f>B1225+1</f>
        <v>192</v>
      </c>
      <c r="C1226" s="12">
        <f>B1225+20</f>
        <v>211</v>
      </c>
      <c r="D1226" s="12">
        <f>C1226+1</f>
        <v>212</v>
      </c>
    </row>
    <row r="1227" spans="1:4" x14ac:dyDescent="0.25">
      <c r="A1227" t="s">
        <v>75</v>
      </c>
      <c r="B1227" s="12">
        <f>B1226</f>
        <v>192</v>
      </c>
      <c r="C1227" s="12">
        <f>B1227+1</f>
        <v>193</v>
      </c>
      <c r="D1227" s="12">
        <f>B1227+20</f>
        <v>212</v>
      </c>
    </row>
    <row r="1228" spans="1:4" x14ac:dyDescent="0.25">
      <c r="A1228" t="s">
        <v>75</v>
      </c>
      <c r="B1228" s="12">
        <f>B1227+1</f>
        <v>193</v>
      </c>
      <c r="C1228" s="12">
        <f>B1227+20</f>
        <v>212</v>
      </c>
      <c r="D1228" s="12">
        <f>C1228+1</f>
        <v>213</v>
      </c>
    </row>
    <row r="1229" spans="1:4" x14ac:dyDescent="0.25">
      <c r="A1229" t="s">
        <v>75</v>
      </c>
      <c r="B1229" s="12">
        <f>B1228</f>
        <v>193</v>
      </c>
      <c r="C1229" s="12">
        <f>B1229+1</f>
        <v>194</v>
      </c>
      <c r="D1229" s="12">
        <f>B1229+20</f>
        <v>213</v>
      </c>
    </row>
    <row r="1230" spans="1:4" x14ac:dyDescent="0.25">
      <c r="A1230" t="s">
        <v>75</v>
      </c>
      <c r="B1230" s="12">
        <f>B1229+1</f>
        <v>194</v>
      </c>
      <c r="C1230" s="12">
        <f>B1229+20</f>
        <v>213</v>
      </c>
      <c r="D1230" s="12">
        <f>C1230+1</f>
        <v>214</v>
      </c>
    </row>
    <row r="1231" spans="1:4" x14ac:dyDescent="0.25">
      <c r="A1231" t="s">
        <v>75</v>
      </c>
      <c r="B1231" s="12">
        <f>B1230</f>
        <v>194</v>
      </c>
      <c r="C1231" s="12">
        <f>B1231+1</f>
        <v>195</v>
      </c>
      <c r="D1231" s="12">
        <f>B1231+20</f>
        <v>214</v>
      </c>
    </row>
    <row r="1232" spans="1:4" x14ac:dyDescent="0.25">
      <c r="A1232" t="s">
        <v>75</v>
      </c>
      <c r="B1232" s="12">
        <f>B1231+1</f>
        <v>195</v>
      </c>
      <c r="C1232" s="12">
        <f>B1231+20</f>
        <v>214</v>
      </c>
      <c r="D1232" s="12">
        <f>C1232+1</f>
        <v>215</v>
      </c>
    </row>
    <row r="1233" spans="1:4" x14ac:dyDescent="0.25">
      <c r="A1233" t="s">
        <v>75</v>
      </c>
      <c r="B1233" s="12">
        <f>B1232</f>
        <v>195</v>
      </c>
      <c r="C1233" s="12">
        <f>B1233+1</f>
        <v>196</v>
      </c>
      <c r="D1233" s="12">
        <f>B1233+20</f>
        <v>215</v>
      </c>
    </row>
    <row r="1234" spans="1:4" x14ac:dyDescent="0.25">
      <c r="A1234" t="s">
        <v>75</v>
      </c>
      <c r="B1234" s="12">
        <f>B1233+1</f>
        <v>196</v>
      </c>
      <c r="C1234" s="12">
        <f>B1233+20</f>
        <v>215</v>
      </c>
      <c r="D1234" s="12">
        <f>C1234+1</f>
        <v>216</v>
      </c>
    </row>
    <row r="1235" spans="1:4" x14ac:dyDescent="0.25">
      <c r="A1235" t="s">
        <v>75</v>
      </c>
      <c r="B1235" s="12">
        <f>B1234</f>
        <v>196</v>
      </c>
      <c r="C1235" s="12">
        <f>B1235+1</f>
        <v>197</v>
      </c>
      <c r="D1235" s="12">
        <f>B1235+20</f>
        <v>216</v>
      </c>
    </row>
    <row r="1236" spans="1:4" x14ac:dyDescent="0.25">
      <c r="A1236" t="s">
        <v>75</v>
      </c>
      <c r="B1236" s="12">
        <f>B1235+1</f>
        <v>197</v>
      </c>
      <c r="C1236" s="12">
        <f>B1235+20</f>
        <v>216</v>
      </c>
      <c r="D1236" s="12">
        <f>C1236+1</f>
        <v>217</v>
      </c>
    </row>
    <row r="1237" spans="1:4" x14ac:dyDescent="0.25">
      <c r="A1237" t="s">
        <v>75</v>
      </c>
      <c r="B1237" s="12">
        <f>B1236</f>
        <v>197</v>
      </c>
      <c r="C1237" s="12">
        <f>B1237+1</f>
        <v>198</v>
      </c>
      <c r="D1237" s="12">
        <f>B1237+20</f>
        <v>217</v>
      </c>
    </row>
    <row r="1238" spans="1:4" x14ac:dyDescent="0.25">
      <c r="A1238" t="s">
        <v>75</v>
      </c>
      <c r="B1238" s="12">
        <f>B1237+1</f>
        <v>198</v>
      </c>
      <c r="C1238" s="12">
        <f>B1237+20</f>
        <v>217</v>
      </c>
      <c r="D1238" s="12">
        <f>C1238+1</f>
        <v>218</v>
      </c>
    </row>
    <row r="1239" spans="1:4" x14ac:dyDescent="0.25">
      <c r="A1239" t="s">
        <v>75</v>
      </c>
      <c r="B1239" s="12">
        <f>B1238</f>
        <v>198</v>
      </c>
      <c r="C1239" s="12">
        <f>B1239+1</f>
        <v>199</v>
      </c>
      <c r="D1239" s="12">
        <f>B1239+20</f>
        <v>218</v>
      </c>
    </row>
    <row r="1240" spans="1:4" x14ac:dyDescent="0.25">
      <c r="A1240" t="s">
        <v>75</v>
      </c>
      <c r="B1240" s="12">
        <f>B1239+1</f>
        <v>199</v>
      </c>
      <c r="C1240" s="12">
        <f>B1239+20</f>
        <v>218</v>
      </c>
      <c r="D1240" s="12">
        <f>C1240+1</f>
        <v>219</v>
      </c>
    </row>
    <row r="1241" spans="1:4" x14ac:dyDescent="0.25">
      <c r="A1241" t="s">
        <v>75</v>
      </c>
      <c r="B1241" s="12">
        <f>B1240</f>
        <v>199</v>
      </c>
      <c r="C1241" s="12">
        <f>B1241+1</f>
        <v>200</v>
      </c>
      <c r="D1241" s="12">
        <f>B1241+20</f>
        <v>219</v>
      </c>
    </row>
    <row r="1242" spans="1:4" x14ac:dyDescent="0.25">
      <c r="A1242" t="s">
        <v>75</v>
      </c>
      <c r="B1242" s="12">
        <f>B1241+1</f>
        <v>200</v>
      </c>
      <c r="C1242" s="12">
        <f>B1241+20</f>
        <v>219</v>
      </c>
      <c r="D1242" s="12">
        <f>C1242+1</f>
        <v>220</v>
      </c>
    </row>
    <row r="1243" spans="1:4" x14ac:dyDescent="0.25">
      <c r="A1243" t="s">
        <v>75</v>
      </c>
      <c r="B1243" s="12">
        <f>B1242</f>
        <v>200</v>
      </c>
      <c r="C1243" s="12">
        <f>B1243+1</f>
        <v>201</v>
      </c>
      <c r="D1243" s="12">
        <f>B1243+20</f>
        <v>220</v>
      </c>
    </row>
    <row r="1244" spans="1:4" x14ac:dyDescent="0.25">
      <c r="A1244" t="s">
        <v>75</v>
      </c>
      <c r="B1244" s="12">
        <f>B1243+1</f>
        <v>201</v>
      </c>
      <c r="C1244" s="12">
        <f>B1243+20</f>
        <v>220</v>
      </c>
      <c r="D1244" s="12">
        <f>C1244+1</f>
        <v>221</v>
      </c>
    </row>
    <row r="1245" spans="1:4" x14ac:dyDescent="0.25">
      <c r="A1245" t="s">
        <v>75</v>
      </c>
      <c r="B1245" s="12">
        <f>B1244</f>
        <v>201</v>
      </c>
      <c r="C1245" s="12">
        <f>B1245+1</f>
        <v>202</v>
      </c>
      <c r="D1245" s="12">
        <f>B1245+20</f>
        <v>221</v>
      </c>
    </row>
    <row r="1246" spans="1:4" x14ac:dyDescent="0.25">
      <c r="A1246" t="s">
        <v>75</v>
      </c>
      <c r="B1246" s="12">
        <f>B1245+1</f>
        <v>202</v>
      </c>
      <c r="C1246" s="12">
        <f>B1245+20</f>
        <v>221</v>
      </c>
      <c r="D1246" s="12">
        <f>C1246+1</f>
        <v>222</v>
      </c>
    </row>
    <row r="1247" spans="1:4" x14ac:dyDescent="0.25">
      <c r="A1247" t="s">
        <v>75</v>
      </c>
      <c r="B1247" s="12">
        <f>B1246</f>
        <v>202</v>
      </c>
      <c r="C1247" s="12">
        <f>B1247+1</f>
        <v>203</v>
      </c>
      <c r="D1247" s="12">
        <f>B1247+20</f>
        <v>222</v>
      </c>
    </row>
    <row r="1248" spans="1:4" x14ac:dyDescent="0.25">
      <c r="A1248" t="s">
        <v>75</v>
      </c>
      <c r="B1248" s="12">
        <f>B1247+1</f>
        <v>203</v>
      </c>
      <c r="C1248" s="12">
        <f>B1247+20</f>
        <v>222</v>
      </c>
      <c r="D1248" s="12">
        <f>C1248+1</f>
        <v>223</v>
      </c>
    </row>
    <row r="1249" spans="1:4" x14ac:dyDescent="0.25">
      <c r="A1249" t="s">
        <v>75</v>
      </c>
      <c r="B1249" s="12">
        <f>B1248</f>
        <v>203</v>
      </c>
      <c r="C1249" s="12">
        <f>B1249+1</f>
        <v>204</v>
      </c>
      <c r="D1249" s="12">
        <f>B1249+20</f>
        <v>223</v>
      </c>
    </row>
    <row r="1250" spans="1:4" x14ac:dyDescent="0.25">
      <c r="A1250" t="s">
        <v>75</v>
      </c>
      <c r="B1250" s="12">
        <f>B1249+1</f>
        <v>204</v>
      </c>
      <c r="C1250" s="12">
        <f>B1249+20</f>
        <v>223</v>
      </c>
      <c r="D1250" s="12">
        <f>C1250+1</f>
        <v>224</v>
      </c>
    </row>
    <row r="1251" spans="1:4" x14ac:dyDescent="0.25">
      <c r="A1251" t="s">
        <v>75</v>
      </c>
      <c r="B1251" s="12">
        <f>B1250</f>
        <v>204</v>
      </c>
      <c r="C1251" s="12">
        <f>B1251+1</f>
        <v>205</v>
      </c>
      <c r="D1251" s="12">
        <f>B1251+20</f>
        <v>224</v>
      </c>
    </row>
    <row r="1252" spans="1:4" x14ac:dyDescent="0.25">
      <c r="A1252" t="s">
        <v>75</v>
      </c>
      <c r="B1252" s="12">
        <f>B1251+1</f>
        <v>205</v>
      </c>
      <c r="C1252" s="12">
        <f>B1251+20</f>
        <v>224</v>
      </c>
      <c r="D1252" s="12">
        <f>C1252+1</f>
        <v>225</v>
      </c>
    </row>
    <row r="1253" spans="1:4" x14ac:dyDescent="0.25">
      <c r="A1253" t="s">
        <v>75</v>
      </c>
      <c r="B1253" s="12">
        <f>B1252</f>
        <v>205</v>
      </c>
      <c r="C1253" s="12">
        <f>B1253+1</f>
        <v>206</v>
      </c>
      <c r="D1253" s="12">
        <f>B1253+20</f>
        <v>225</v>
      </c>
    </row>
    <row r="1254" spans="1:4" x14ac:dyDescent="0.25">
      <c r="A1254" t="s">
        <v>75</v>
      </c>
      <c r="B1254" s="12">
        <f>B1253+1</f>
        <v>206</v>
      </c>
      <c r="C1254" s="12">
        <f>B1253+20</f>
        <v>225</v>
      </c>
      <c r="D1254" s="12">
        <f>C1254+1</f>
        <v>226</v>
      </c>
    </row>
    <row r="1255" spans="1:4" x14ac:dyDescent="0.25">
      <c r="A1255" t="s">
        <v>75</v>
      </c>
      <c r="B1255" s="12">
        <f>B1254</f>
        <v>206</v>
      </c>
      <c r="C1255" s="12">
        <f>B1255+1</f>
        <v>207</v>
      </c>
      <c r="D1255" s="12">
        <f>B1255+20</f>
        <v>226</v>
      </c>
    </row>
    <row r="1256" spans="1:4" x14ac:dyDescent="0.25">
      <c r="A1256" t="s">
        <v>75</v>
      </c>
      <c r="B1256" s="12">
        <f>B1255+1</f>
        <v>207</v>
      </c>
      <c r="C1256" s="12">
        <f>B1255+20</f>
        <v>226</v>
      </c>
      <c r="D1256" s="12">
        <f>C1256+1</f>
        <v>227</v>
      </c>
    </row>
    <row r="1257" spans="1:4" x14ac:dyDescent="0.25">
      <c r="A1257" t="s">
        <v>75</v>
      </c>
      <c r="B1257" s="12">
        <f>B1256</f>
        <v>207</v>
      </c>
      <c r="C1257" s="12">
        <f>B1257+1</f>
        <v>208</v>
      </c>
      <c r="D1257" s="12">
        <f>B1257+20</f>
        <v>227</v>
      </c>
    </row>
    <row r="1258" spans="1:4" x14ac:dyDescent="0.25">
      <c r="A1258" t="s">
        <v>75</v>
      </c>
      <c r="B1258" s="12">
        <f>B1257+1</f>
        <v>208</v>
      </c>
      <c r="C1258" s="12">
        <f>B1257+20</f>
        <v>227</v>
      </c>
      <c r="D1258" s="12">
        <f>C1258+1</f>
        <v>228</v>
      </c>
    </row>
    <row r="1259" spans="1:4" x14ac:dyDescent="0.25">
      <c r="A1259" t="s">
        <v>75</v>
      </c>
      <c r="B1259" s="12">
        <f>B1258</f>
        <v>208</v>
      </c>
      <c r="C1259" s="12">
        <f>B1259+1</f>
        <v>209</v>
      </c>
      <c r="D1259" s="12">
        <f>B1259+20</f>
        <v>228</v>
      </c>
    </row>
    <row r="1260" spans="1:4" x14ac:dyDescent="0.25">
      <c r="A1260" t="s">
        <v>75</v>
      </c>
      <c r="B1260" s="12">
        <f>B1259+1</f>
        <v>209</v>
      </c>
      <c r="C1260" s="12">
        <f>B1259+20</f>
        <v>228</v>
      </c>
      <c r="D1260" s="12">
        <f>C1260+1</f>
        <v>229</v>
      </c>
    </row>
    <row r="1261" spans="1:4" x14ac:dyDescent="0.25">
      <c r="A1261" t="s">
        <v>75</v>
      </c>
      <c r="B1261" s="12">
        <f>B1260</f>
        <v>209</v>
      </c>
      <c r="C1261" s="12">
        <f>B1261+1</f>
        <v>210</v>
      </c>
      <c r="D1261" s="12">
        <f>B1261+20</f>
        <v>229</v>
      </c>
    </row>
    <row r="1262" spans="1:4" x14ac:dyDescent="0.25">
      <c r="A1262" t="s">
        <v>75</v>
      </c>
      <c r="B1262" s="12">
        <f>B1261+1</f>
        <v>210</v>
      </c>
      <c r="C1262" s="12">
        <f>B1261+20</f>
        <v>229</v>
      </c>
      <c r="D1262" s="12">
        <f>C1262+1</f>
        <v>230</v>
      </c>
    </row>
    <row r="1263" spans="1:4" x14ac:dyDescent="0.25">
      <c r="A1263" t="s">
        <v>75</v>
      </c>
      <c r="B1263" s="12">
        <f>B1262</f>
        <v>210</v>
      </c>
      <c r="C1263" s="12">
        <f>B1263+1</f>
        <v>211</v>
      </c>
      <c r="D1263" s="12">
        <f>B1263+20</f>
        <v>230</v>
      </c>
    </row>
    <row r="1264" spans="1:4" x14ac:dyDescent="0.25">
      <c r="A1264" t="s">
        <v>75</v>
      </c>
      <c r="B1264" s="12">
        <f>B1263+1</f>
        <v>211</v>
      </c>
      <c r="C1264" s="12">
        <f>B1263+20</f>
        <v>230</v>
      </c>
      <c r="D1264" s="12">
        <f>C1264+1</f>
        <v>231</v>
      </c>
    </row>
    <row r="1265" spans="1:4" x14ac:dyDescent="0.25">
      <c r="A1265" t="s">
        <v>75</v>
      </c>
      <c r="B1265" s="12">
        <f>B1264</f>
        <v>211</v>
      </c>
      <c r="C1265" s="12">
        <f>B1265+1</f>
        <v>212</v>
      </c>
      <c r="D1265" s="12">
        <f>B1265+20</f>
        <v>231</v>
      </c>
    </row>
    <row r="1266" spans="1:4" x14ac:dyDescent="0.25">
      <c r="A1266" t="s">
        <v>75</v>
      </c>
      <c r="B1266" s="12">
        <f>B1265+1</f>
        <v>212</v>
      </c>
      <c r="C1266" s="12">
        <f>B1265+20</f>
        <v>231</v>
      </c>
      <c r="D1266" s="12">
        <f>C1266+1</f>
        <v>232</v>
      </c>
    </row>
    <row r="1267" spans="1:4" x14ac:dyDescent="0.25">
      <c r="A1267" t="s">
        <v>75</v>
      </c>
      <c r="B1267" s="12">
        <f>B1266</f>
        <v>212</v>
      </c>
      <c r="C1267" s="12">
        <f>B1267+1</f>
        <v>213</v>
      </c>
      <c r="D1267" s="12">
        <f>B1267+20</f>
        <v>232</v>
      </c>
    </row>
    <row r="1268" spans="1:4" x14ac:dyDescent="0.25">
      <c r="A1268" t="s">
        <v>75</v>
      </c>
      <c r="B1268" s="12">
        <f>B1267+1</f>
        <v>213</v>
      </c>
      <c r="C1268" s="12">
        <f>B1267+20</f>
        <v>232</v>
      </c>
      <c r="D1268" s="12">
        <f>C1268+1</f>
        <v>233</v>
      </c>
    </row>
    <row r="1269" spans="1:4" x14ac:dyDescent="0.25">
      <c r="A1269" t="s">
        <v>75</v>
      </c>
      <c r="B1269" s="12">
        <f>B1268</f>
        <v>213</v>
      </c>
      <c r="C1269" s="12">
        <f>B1269+1</f>
        <v>214</v>
      </c>
      <c r="D1269" s="12">
        <f>B1269+20</f>
        <v>233</v>
      </c>
    </row>
    <row r="1270" spans="1:4" x14ac:dyDescent="0.25">
      <c r="A1270" t="s">
        <v>75</v>
      </c>
      <c r="B1270" s="12">
        <f>B1269+1</f>
        <v>214</v>
      </c>
      <c r="C1270" s="12">
        <f>B1269+20</f>
        <v>233</v>
      </c>
      <c r="D1270" s="12">
        <f>C1270+1</f>
        <v>234</v>
      </c>
    </row>
    <row r="1271" spans="1:4" x14ac:dyDescent="0.25">
      <c r="A1271" t="s">
        <v>75</v>
      </c>
      <c r="B1271" s="12">
        <f>B1270</f>
        <v>214</v>
      </c>
      <c r="C1271" s="12">
        <f>B1271+1</f>
        <v>215</v>
      </c>
      <c r="D1271" s="12">
        <f>B1271+20</f>
        <v>234</v>
      </c>
    </row>
    <row r="1272" spans="1:4" x14ac:dyDescent="0.25">
      <c r="A1272" t="s">
        <v>75</v>
      </c>
      <c r="B1272" s="12">
        <f>B1271+1</f>
        <v>215</v>
      </c>
      <c r="C1272" s="12">
        <f>B1271+20</f>
        <v>234</v>
      </c>
      <c r="D1272" s="12">
        <f>C1272+1</f>
        <v>235</v>
      </c>
    </row>
    <row r="1273" spans="1:4" x14ac:dyDescent="0.25">
      <c r="A1273" t="s">
        <v>75</v>
      </c>
      <c r="B1273" s="12">
        <f>B1272</f>
        <v>215</v>
      </c>
      <c r="C1273" s="12">
        <f>B1273+1</f>
        <v>216</v>
      </c>
      <c r="D1273" s="12">
        <f>B1273+20</f>
        <v>235</v>
      </c>
    </row>
    <row r="1274" spans="1:4" x14ac:dyDescent="0.25">
      <c r="A1274" t="s">
        <v>75</v>
      </c>
      <c r="B1274" s="12">
        <f>B1273+1</f>
        <v>216</v>
      </c>
      <c r="C1274" s="12">
        <f>B1273+20</f>
        <v>235</v>
      </c>
      <c r="D1274" s="12">
        <f>C1274+1</f>
        <v>236</v>
      </c>
    </row>
    <row r="1275" spans="1:4" x14ac:dyDescent="0.25">
      <c r="A1275" t="s">
        <v>75</v>
      </c>
      <c r="B1275" s="12">
        <f>B1274</f>
        <v>216</v>
      </c>
      <c r="C1275" s="12">
        <f>B1275+1</f>
        <v>217</v>
      </c>
      <c r="D1275" s="12">
        <f>B1275+20</f>
        <v>236</v>
      </c>
    </row>
    <row r="1276" spans="1:4" x14ac:dyDescent="0.25">
      <c r="A1276" t="s">
        <v>75</v>
      </c>
      <c r="B1276" s="12">
        <f>B1275+1</f>
        <v>217</v>
      </c>
      <c r="C1276" s="12">
        <f>B1275+20</f>
        <v>236</v>
      </c>
      <c r="D1276" s="12">
        <f>C1276+1</f>
        <v>237</v>
      </c>
    </row>
    <row r="1277" spans="1:4" x14ac:dyDescent="0.25">
      <c r="A1277" t="s">
        <v>75</v>
      </c>
      <c r="B1277" s="12">
        <f>B1276</f>
        <v>217</v>
      </c>
      <c r="C1277" s="12">
        <f>B1277+1</f>
        <v>218</v>
      </c>
      <c r="D1277" s="12">
        <f>B1277+20</f>
        <v>237</v>
      </c>
    </row>
    <row r="1278" spans="1:4" x14ac:dyDescent="0.25">
      <c r="A1278" t="s">
        <v>75</v>
      </c>
      <c r="B1278" s="12">
        <f>B1277+1</f>
        <v>218</v>
      </c>
      <c r="C1278" s="12">
        <f>B1277+20</f>
        <v>237</v>
      </c>
      <c r="D1278" s="12">
        <f>C1278+1</f>
        <v>238</v>
      </c>
    </row>
    <row r="1279" spans="1:4" x14ac:dyDescent="0.25">
      <c r="A1279" t="s">
        <v>75</v>
      </c>
      <c r="B1279" s="12">
        <f>B1278</f>
        <v>218</v>
      </c>
      <c r="C1279" s="12">
        <f>B1279+1</f>
        <v>219</v>
      </c>
      <c r="D1279" s="12">
        <f>B1279+20</f>
        <v>238</v>
      </c>
    </row>
    <row r="1280" spans="1:4" x14ac:dyDescent="0.25">
      <c r="A1280" t="s">
        <v>75</v>
      </c>
      <c r="B1280" s="12">
        <f>B1279+1</f>
        <v>219</v>
      </c>
      <c r="C1280" s="12">
        <f>B1279+20</f>
        <v>238</v>
      </c>
      <c r="D1280" s="12">
        <f>C1280+1</f>
        <v>239</v>
      </c>
    </row>
    <row r="1281" spans="1:4" x14ac:dyDescent="0.25">
      <c r="A1281" t="s">
        <v>75</v>
      </c>
      <c r="B1281" s="12">
        <f>B1280</f>
        <v>219</v>
      </c>
      <c r="C1281" s="12">
        <f>B1281+1</f>
        <v>220</v>
      </c>
      <c r="D1281" s="12">
        <f>B1281+20</f>
        <v>239</v>
      </c>
    </row>
    <row r="1282" spans="1:4" x14ac:dyDescent="0.25">
      <c r="A1282" t="s">
        <v>75</v>
      </c>
      <c r="B1282" s="12">
        <f>B1281+1</f>
        <v>220</v>
      </c>
      <c r="C1282" s="12">
        <f>B1281+20</f>
        <v>239</v>
      </c>
      <c r="D1282" s="12">
        <f>C1282+1</f>
        <v>240</v>
      </c>
    </row>
    <row r="1283" spans="1:4" x14ac:dyDescent="0.25">
      <c r="A1283" t="s">
        <v>75</v>
      </c>
      <c r="B1283" s="12">
        <f>B1282</f>
        <v>220</v>
      </c>
      <c r="C1283" s="12">
        <f>B1283+1</f>
        <v>221</v>
      </c>
      <c r="D1283" s="12">
        <f>B1283+20</f>
        <v>240</v>
      </c>
    </row>
    <row r="1284" spans="1:4" x14ac:dyDescent="0.25">
      <c r="A1284" t="s">
        <v>75</v>
      </c>
      <c r="B1284" s="12">
        <f>B1283+1</f>
        <v>221</v>
      </c>
      <c r="C1284" s="12">
        <f>B1283+20</f>
        <v>240</v>
      </c>
      <c r="D1284" s="12">
        <f>C1284+1</f>
        <v>241</v>
      </c>
    </row>
    <row r="1285" spans="1:4" x14ac:dyDescent="0.25">
      <c r="A1285" t="s">
        <v>75</v>
      </c>
      <c r="B1285" s="12">
        <f>B1284</f>
        <v>221</v>
      </c>
      <c r="C1285" s="12">
        <f>B1285+1</f>
        <v>222</v>
      </c>
      <c r="D1285" s="12">
        <f>B1285+20</f>
        <v>241</v>
      </c>
    </row>
    <row r="1286" spans="1:4" x14ac:dyDescent="0.25">
      <c r="A1286" t="s">
        <v>75</v>
      </c>
      <c r="B1286" s="12">
        <f>B1285+1</f>
        <v>222</v>
      </c>
      <c r="C1286" s="12">
        <f>B1285+20</f>
        <v>241</v>
      </c>
      <c r="D1286" s="12">
        <f>C1286+1</f>
        <v>242</v>
      </c>
    </row>
    <row r="1287" spans="1:4" x14ac:dyDescent="0.25">
      <c r="A1287" t="s">
        <v>75</v>
      </c>
      <c r="B1287" s="12">
        <f>B1286</f>
        <v>222</v>
      </c>
      <c r="C1287" s="12">
        <f>B1287+1</f>
        <v>223</v>
      </c>
      <c r="D1287" s="12">
        <f>B1287+20</f>
        <v>242</v>
      </c>
    </row>
    <row r="1288" spans="1:4" x14ac:dyDescent="0.25">
      <c r="A1288" t="s">
        <v>75</v>
      </c>
      <c r="B1288" s="12">
        <f>B1287+1</f>
        <v>223</v>
      </c>
      <c r="C1288" s="12">
        <f>B1287+20</f>
        <v>242</v>
      </c>
      <c r="D1288" s="12">
        <f>C1288+1</f>
        <v>243</v>
      </c>
    </row>
    <row r="1289" spans="1:4" x14ac:dyDescent="0.25">
      <c r="A1289" t="s">
        <v>75</v>
      </c>
      <c r="B1289" s="12">
        <f>B1288</f>
        <v>223</v>
      </c>
      <c r="C1289" s="12">
        <f>B1289+1</f>
        <v>224</v>
      </c>
      <c r="D1289" s="12">
        <f>B1289+20</f>
        <v>243</v>
      </c>
    </row>
    <row r="1290" spans="1:4" x14ac:dyDescent="0.25">
      <c r="A1290" t="s">
        <v>75</v>
      </c>
      <c r="B1290" s="12">
        <f>B1289+1</f>
        <v>224</v>
      </c>
      <c r="C1290" s="12">
        <f>B1289+20</f>
        <v>243</v>
      </c>
      <c r="D1290" s="12">
        <f>C1290+1</f>
        <v>244</v>
      </c>
    </row>
    <row r="1291" spans="1:4" x14ac:dyDescent="0.25">
      <c r="A1291" t="s">
        <v>75</v>
      </c>
      <c r="B1291" s="12">
        <f>B1290</f>
        <v>224</v>
      </c>
      <c r="C1291" s="12">
        <f>B1291+1</f>
        <v>225</v>
      </c>
      <c r="D1291" s="12">
        <f>B1291+20</f>
        <v>244</v>
      </c>
    </row>
    <row r="1292" spans="1:4" x14ac:dyDescent="0.25">
      <c r="A1292" t="s">
        <v>75</v>
      </c>
      <c r="B1292" s="12">
        <f>B1291+1</f>
        <v>225</v>
      </c>
      <c r="C1292" s="12">
        <f>B1291+20</f>
        <v>244</v>
      </c>
      <c r="D1292" s="12">
        <f>C1292+1</f>
        <v>245</v>
      </c>
    </row>
    <row r="1293" spans="1:4" x14ac:dyDescent="0.25">
      <c r="A1293" t="s">
        <v>75</v>
      </c>
      <c r="B1293" s="12">
        <f>B1292</f>
        <v>225</v>
      </c>
      <c r="C1293" s="12">
        <f>B1293+1</f>
        <v>226</v>
      </c>
      <c r="D1293" s="12">
        <f>B1293+20</f>
        <v>245</v>
      </c>
    </row>
    <row r="1294" spans="1:4" x14ac:dyDescent="0.25">
      <c r="A1294" t="s">
        <v>75</v>
      </c>
      <c r="B1294" s="12">
        <f>B1293+1</f>
        <v>226</v>
      </c>
      <c r="C1294" s="12">
        <f>B1293+20</f>
        <v>245</v>
      </c>
      <c r="D1294" s="12">
        <f>C1294+1</f>
        <v>246</v>
      </c>
    </row>
    <row r="1295" spans="1:4" x14ac:dyDescent="0.25">
      <c r="A1295" t="s">
        <v>75</v>
      </c>
      <c r="B1295" s="12">
        <f>B1294</f>
        <v>226</v>
      </c>
      <c r="C1295" s="12">
        <f>B1295+1</f>
        <v>227</v>
      </c>
      <c r="D1295" s="12">
        <f>B1295+20</f>
        <v>246</v>
      </c>
    </row>
    <row r="1296" spans="1:4" x14ac:dyDescent="0.25">
      <c r="A1296" t="s">
        <v>75</v>
      </c>
      <c r="B1296" s="12">
        <f>B1295+1</f>
        <v>227</v>
      </c>
      <c r="C1296" s="12">
        <f>B1295+20</f>
        <v>246</v>
      </c>
      <c r="D1296" s="12">
        <f>C1296+1</f>
        <v>247</v>
      </c>
    </row>
    <row r="1297" spans="1:4" x14ac:dyDescent="0.25">
      <c r="A1297" t="s">
        <v>75</v>
      </c>
      <c r="B1297" s="12">
        <f>B1296</f>
        <v>227</v>
      </c>
      <c r="C1297" s="12">
        <f>B1297+1</f>
        <v>228</v>
      </c>
      <c r="D1297" s="12">
        <f>B1297+20</f>
        <v>247</v>
      </c>
    </row>
    <row r="1298" spans="1:4" x14ac:dyDescent="0.25">
      <c r="A1298" t="s">
        <v>75</v>
      </c>
      <c r="B1298" s="12">
        <f>B1297+1</f>
        <v>228</v>
      </c>
      <c r="C1298" s="12">
        <f>B1297+20</f>
        <v>247</v>
      </c>
      <c r="D1298" s="12">
        <f>C1298+1</f>
        <v>248</v>
      </c>
    </row>
    <row r="1299" spans="1:4" x14ac:dyDescent="0.25">
      <c r="A1299" t="s">
        <v>75</v>
      </c>
      <c r="B1299" s="12">
        <f>B1298</f>
        <v>228</v>
      </c>
      <c r="C1299" s="12">
        <f>B1299+1</f>
        <v>229</v>
      </c>
      <c r="D1299" s="12">
        <f>B1299+20</f>
        <v>248</v>
      </c>
    </row>
    <row r="1300" spans="1:4" x14ac:dyDescent="0.25">
      <c r="A1300" t="s">
        <v>75</v>
      </c>
      <c r="B1300" s="12">
        <f>B1299+1</f>
        <v>229</v>
      </c>
      <c r="C1300" s="12">
        <f>B1299+20</f>
        <v>248</v>
      </c>
      <c r="D1300" s="12">
        <f>C1300+1</f>
        <v>249</v>
      </c>
    </row>
    <row r="1301" spans="1:4" x14ac:dyDescent="0.25">
      <c r="A1301" t="s">
        <v>75</v>
      </c>
      <c r="B1301" s="12">
        <f>B1300</f>
        <v>229</v>
      </c>
      <c r="C1301" s="12">
        <f>B1301+1</f>
        <v>230</v>
      </c>
      <c r="D1301" s="12">
        <f>B1301+20</f>
        <v>249</v>
      </c>
    </row>
    <row r="1302" spans="1:4" x14ac:dyDescent="0.25">
      <c r="A1302" t="s">
        <v>75</v>
      </c>
      <c r="B1302" s="12">
        <f>B1301+1</f>
        <v>230</v>
      </c>
      <c r="C1302" s="12">
        <f>B1301+20</f>
        <v>249</v>
      </c>
      <c r="D1302" s="12">
        <f>C1302+1</f>
        <v>250</v>
      </c>
    </row>
    <row r="1303" spans="1:4" x14ac:dyDescent="0.25">
      <c r="A1303" t="s">
        <v>75</v>
      </c>
      <c r="B1303" s="12">
        <f>B1302</f>
        <v>230</v>
      </c>
      <c r="C1303" s="12">
        <f>B1303+1</f>
        <v>231</v>
      </c>
      <c r="D1303" s="12">
        <f>B1303+20</f>
        <v>250</v>
      </c>
    </row>
    <row r="1304" spans="1:4" x14ac:dyDescent="0.25">
      <c r="A1304" t="s">
        <v>75</v>
      </c>
      <c r="B1304" s="12">
        <f>B1303+1</f>
        <v>231</v>
      </c>
      <c r="C1304" s="12">
        <f>B1303+20</f>
        <v>250</v>
      </c>
      <c r="D1304" s="12">
        <f>C1304+1</f>
        <v>251</v>
      </c>
    </row>
    <row r="1305" spans="1:4" x14ac:dyDescent="0.25">
      <c r="A1305" t="s">
        <v>75</v>
      </c>
      <c r="B1305" s="12">
        <f>B1304</f>
        <v>231</v>
      </c>
      <c r="C1305" s="12">
        <f>B1305+1</f>
        <v>232</v>
      </c>
      <c r="D1305" s="12">
        <f>B1305+20</f>
        <v>251</v>
      </c>
    </row>
    <row r="1306" spans="1:4" x14ac:dyDescent="0.25">
      <c r="A1306" t="s">
        <v>75</v>
      </c>
      <c r="B1306" s="12">
        <f>B1305+1</f>
        <v>232</v>
      </c>
      <c r="C1306" s="12">
        <f>B1305+20</f>
        <v>251</v>
      </c>
      <c r="D1306" s="12">
        <f>C1306+1</f>
        <v>252</v>
      </c>
    </row>
    <row r="1307" spans="1:4" x14ac:dyDescent="0.25">
      <c r="A1307" t="s">
        <v>75</v>
      </c>
      <c r="B1307" s="12">
        <f>B1306</f>
        <v>232</v>
      </c>
      <c r="C1307" s="12">
        <f>B1307+1</f>
        <v>233</v>
      </c>
      <c r="D1307" s="12">
        <f>B1307+20</f>
        <v>252</v>
      </c>
    </row>
    <row r="1308" spans="1:4" x14ac:dyDescent="0.25">
      <c r="A1308" t="s">
        <v>75</v>
      </c>
      <c r="B1308" s="12">
        <f>B1307+1</f>
        <v>233</v>
      </c>
      <c r="C1308" s="12">
        <f>B1307+20</f>
        <v>252</v>
      </c>
      <c r="D1308" s="12">
        <f>C1308+1</f>
        <v>253</v>
      </c>
    </row>
    <row r="1309" spans="1:4" x14ac:dyDescent="0.25">
      <c r="A1309" t="s">
        <v>75</v>
      </c>
      <c r="B1309" s="12">
        <f>B1308</f>
        <v>233</v>
      </c>
      <c r="C1309" s="12">
        <f>B1309+1</f>
        <v>234</v>
      </c>
      <c r="D1309" s="12">
        <f>B1309+20</f>
        <v>253</v>
      </c>
    </row>
    <row r="1310" spans="1:4" x14ac:dyDescent="0.25">
      <c r="A1310" t="s">
        <v>75</v>
      </c>
      <c r="B1310" s="12">
        <f>B1309+1</f>
        <v>234</v>
      </c>
      <c r="C1310" s="12">
        <f>B1309+20</f>
        <v>253</v>
      </c>
      <c r="D1310" s="12">
        <f>C1310+1</f>
        <v>254</v>
      </c>
    </row>
    <row r="1311" spans="1:4" x14ac:dyDescent="0.25">
      <c r="A1311" t="s">
        <v>75</v>
      </c>
      <c r="B1311" s="12">
        <f>B1310</f>
        <v>234</v>
      </c>
      <c r="C1311" s="12">
        <f>B1311+1</f>
        <v>235</v>
      </c>
      <c r="D1311" s="12">
        <f>B1311+20</f>
        <v>254</v>
      </c>
    </row>
    <row r="1312" spans="1:4" x14ac:dyDescent="0.25">
      <c r="A1312" t="s">
        <v>75</v>
      </c>
      <c r="B1312" s="12">
        <f>B1311+1</f>
        <v>235</v>
      </c>
      <c r="C1312" s="12">
        <f>B1311+20</f>
        <v>254</v>
      </c>
      <c r="D1312" s="12">
        <f>C1312+1</f>
        <v>255</v>
      </c>
    </row>
    <row r="1313" spans="1:4" x14ac:dyDescent="0.25">
      <c r="A1313" t="s">
        <v>75</v>
      </c>
      <c r="B1313" s="12">
        <f>B1312</f>
        <v>235</v>
      </c>
      <c r="C1313" s="12">
        <f>B1313+1</f>
        <v>236</v>
      </c>
      <c r="D1313" s="12">
        <f>B1313+20</f>
        <v>255</v>
      </c>
    </row>
    <row r="1314" spans="1:4" x14ac:dyDescent="0.25">
      <c r="A1314" t="s">
        <v>75</v>
      </c>
      <c r="B1314" s="12">
        <f>B1313+1</f>
        <v>236</v>
      </c>
      <c r="C1314" s="12">
        <f>B1313+20</f>
        <v>255</v>
      </c>
      <c r="D1314" s="12">
        <f>C1314+1</f>
        <v>256</v>
      </c>
    </row>
    <row r="1315" spans="1:4" x14ac:dyDescent="0.25">
      <c r="A1315" t="s">
        <v>75</v>
      </c>
      <c r="B1315" s="12">
        <f>B1314</f>
        <v>236</v>
      </c>
      <c r="C1315" s="12">
        <f>B1315+1</f>
        <v>237</v>
      </c>
      <c r="D1315" s="12">
        <f>B1315+20</f>
        <v>256</v>
      </c>
    </row>
    <row r="1316" spans="1:4" x14ac:dyDescent="0.25">
      <c r="A1316" t="s">
        <v>75</v>
      </c>
      <c r="B1316" s="12">
        <f>B1315+1</f>
        <v>237</v>
      </c>
      <c r="C1316" s="12">
        <f>B1315+20</f>
        <v>256</v>
      </c>
      <c r="D1316" s="12">
        <f>C1316+1</f>
        <v>257</v>
      </c>
    </row>
    <row r="1317" spans="1:4" x14ac:dyDescent="0.25">
      <c r="A1317" t="s">
        <v>75</v>
      </c>
      <c r="B1317" s="12">
        <f>B1316</f>
        <v>237</v>
      </c>
      <c r="C1317" s="12">
        <f>B1317+1</f>
        <v>238</v>
      </c>
      <c r="D1317" s="12">
        <f>B1317+20</f>
        <v>257</v>
      </c>
    </row>
    <row r="1318" spans="1:4" x14ac:dyDescent="0.25">
      <c r="A1318" t="s">
        <v>75</v>
      </c>
      <c r="B1318" s="12">
        <f>B1317+1</f>
        <v>238</v>
      </c>
      <c r="C1318" s="12">
        <f>B1317+20</f>
        <v>257</v>
      </c>
      <c r="D1318" s="12">
        <f>C1318+1</f>
        <v>258</v>
      </c>
    </row>
    <row r="1319" spans="1:4" x14ac:dyDescent="0.25">
      <c r="A1319" t="s">
        <v>75</v>
      </c>
      <c r="B1319" s="12">
        <f>B1318</f>
        <v>238</v>
      </c>
      <c r="C1319" s="12">
        <f>B1319+1</f>
        <v>239</v>
      </c>
      <c r="D1319" s="12">
        <f>B1319+20</f>
        <v>258</v>
      </c>
    </row>
    <row r="1320" spans="1:4" x14ac:dyDescent="0.25">
      <c r="A1320" t="s">
        <v>75</v>
      </c>
      <c r="B1320" s="12">
        <f>B1319+1</f>
        <v>239</v>
      </c>
      <c r="C1320" s="12">
        <f>B1319+20</f>
        <v>258</v>
      </c>
      <c r="D1320" s="12">
        <f>C1320+1</f>
        <v>259</v>
      </c>
    </row>
    <row r="1321" spans="1:4" x14ac:dyDescent="0.25">
      <c r="A1321" t="s">
        <v>75</v>
      </c>
      <c r="B1321" s="12">
        <f>B1320</f>
        <v>239</v>
      </c>
      <c r="C1321" s="12">
        <f>B1321+1</f>
        <v>240</v>
      </c>
      <c r="D1321" s="12">
        <f>B1321+20</f>
        <v>259</v>
      </c>
    </row>
    <row r="1322" spans="1:4" x14ac:dyDescent="0.25">
      <c r="A1322" t="s">
        <v>75</v>
      </c>
      <c r="B1322" s="12">
        <f>B1321+1</f>
        <v>240</v>
      </c>
      <c r="C1322" s="12">
        <f>B1321+20</f>
        <v>259</v>
      </c>
      <c r="D1322" s="12">
        <f>C1322+1</f>
        <v>260</v>
      </c>
    </row>
    <row r="1323" spans="1:4" x14ac:dyDescent="0.25">
      <c r="A1323" t="s">
        <v>75</v>
      </c>
      <c r="B1323" s="12">
        <f>B1322</f>
        <v>240</v>
      </c>
      <c r="C1323" s="12">
        <f>B1323+1</f>
        <v>241</v>
      </c>
      <c r="D1323" s="12">
        <f>B1323+20</f>
        <v>260</v>
      </c>
    </row>
    <row r="1324" spans="1:4" x14ac:dyDescent="0.25">
      <c r="A1324" t="s">
        <v>75</v>
      </c>
      <c r="B1324" s="12">
        <f>B1323+1</f>
        <v>241</v>
      </c>
      <c r="C1324" s="12">
        <f>B1323+20</f>
        <v>260</v>
      </c>
      <c r="D1324" s="12">
        <f>C1324+1</f>
        <v>261</v>
      </c>
    </row>
    <row r="1325" spans="1:4" x14ac:dyDescent="0.25">
      <c r="A1325" t="s">
        <v>75</v>
      </c>
      <c r="B1325" s="12">
        <f>B1324</f>
        <v>241</v>
      </c>
      <c r="C1325" s="12">
        <f>B1325+1</f>
        <v>242</v>
      </c>
      <c r="D1325" s="12">
        <f>B1325+20</f>
        <v>261</v>
      </c>
    </row>
    <row r="1326" spans="1:4" x14ac:dyDescent="0.25">
      <c r="A1326" t="s">
        <v>75</v>
      </c>
      <c r="B1326" s="12">
        <f>B1325+1</f>
        <v>242</v>
      </c>
      <c r="C1326" s="12">
        <f>B1325+20</f>
        <v>261</v>
      </c>
      <c r="D1326" s="12">
        <f>C1326+1</f>
        <v>262</v>
      </c>
    </row>
    <row r="1327" spans="1:4" x14ac:dyDescent="0.25">
      <c r="A1327" t="s">
        <v>75</v>
      </c>
      <c r="B1327" s="12">
        <f>B1326</f>
        <v>242</v>
      </c>
      <c r="C1327" s="12">
        <f>B1327+1</f>
        <v>243</v>
      </c>
      <c r="D1327" s="12">
        <f>B1327+20</f>
        <v>262</v>
      </c>
    </row>
    <row r="1328" spans="1:4" x14ac:dyDescent="0.25">
      <c r="A1328" t="s">
        <v>75</v>
      </c>
      <c r="B1328" s="12">
        <f>B1327+1</f>
        <v>243</v>
      </c>
      <c r="C1328" s="12">
        <f>B1327+20</f>
        <v>262</v>
      </c>
      <c r="D1328" s="12">
        <f>C1328+1</f>
        <v>263</v>
      </c>
    </row>
    <row r="1329" spans="1:4" x14ac:dyDescent="0.25">
      <c r="A1329" t="s">
        <v>75</v>
      </c>
      <c r="B1329" s="12">
        <f>B1328</f>
        <v>243</v>
      </c>
      <c r="C1329" s="12">
        <f>B1329+1</f>
        <v>244</v>
      </c>
      <c r="D1329" s="12">
        <f>B1329+20</f>
        <v>263</v>
      </c>
    </row>
    <row r="1330" spans="1:4" x14ac:dyDescent="0.25">
      <c r="A1330" t="s">
        <v>75</v>
      </c>
      <c r="B1330" s="12">
        <f>B1329+1</f>
        <v>244</v>
      </c>
      <c r="C1330" s="12">
        <f>B1329+20</f>
        <v>263</v>
      </c>
      <c r="D1330" s="12">
        <f>C1330+1</f>
        <v>264</v>
      </c>
    </row>
    <row r="1331" spans="1:4" x14ac:dyDescent="0.25">
      <c r="A1331" t="s">
        <v>75</v>
      </c>
      <c r="B1331" s="12">
        <f>B1330</f>
        <v>244</v>
      </c>
      <c r="C1331" s="12">
        <f>B1331+1</f>
        <v>245</v>
      </c>
      <c r="D1331" s="12">
        <f>B1331+20</f>
        <v>264</v>
      </c>
    </row>
    <row r="1332" spans="1:4" x14ac:dyDescent="0.25">
      <c r="A1332" t="s">
        <v>75</v>
      </c>
      <c r="B1332" s="12">
        <f>B1331+1</f>
        <v>245</v>
      </c>
      <c r="C1332" s="12">
        <f>B1331+20</f>
        <v>264</v>
      </c>
      <c r="D1332" s="12">
        <f>C1332+1</f>
        <v>265</v>
      </c>
    </row>
    <row r="1333" spans="1:4" x14ac:dyDescent="0.25">
      <c r="A1333" t="s">
        <v>75</v>
      </c>
      <c r="B1333" s="12">
        <f>B1332</f>
        <v>245</v>
      </c>
      <c r="C1333" s="12">
        <f>B1333+1</f>
        <v>246</v>
      </c>
      <c r="D1333" s="12">
        <f>B1333+20</f>
        <v>265</v>
      </c>
    </row>
    <row r="1334" spans="1:4" x14ac:dyDescent="0.25">
      <c r="A1334" t="s">
        <v>75</v>
      </c>
      <c r="B1334" s="12">
        <f>B1333+1</f>
        <v>246</v>
      </c>
      <c r="C1334" s="12">
        <f>B1333+20</f>
        <v>265</v>
      </c>
      <c r="D1334" s="12">
        <f>C1334+1</f>
        <v>266</v>
      </c>
    </row>
    <row r="1335" spans="1:4" x14ac:dyDescent="0.25">
      <c r="A1335" t="s">
        <v>75</v>
      </c>
      <c r="B1335" s="12">
        <f>B1334</f>
        <v>246</v>
      </c>
      <c r="C1335" s="12">
        <f>B1335+1</f>
        <v>247</v>
      </c>
      <c r="D1335" s="12">
        <f>B1335+20</f>
        <v>266</v>
      </c>
    </row>
    <row r="1336" spans="1:4" x14ac:dyDescent="0.25">
      <c r="A1336" t="s">
        <v>75</v>
      </c>
      <c r="B1336" s="12">
        <f>B1335+1</f>
        <v>247</v>
      </c>
      <c r="C1336" s="12">
        <f>B1335+20</f>
        <v>266</v>
      </c>
      <c r="D1336" s="12">
        <f>C1336+1</f>
        <v>267</v>
      </c>
    </row>
    <row r="1337" spans="1:4" x14ac:dyDescent="0.25">
      <c r="A1337" t="s">
        <v>75</v>
      </c>
      <c r="B1337" s="12">
        <f>B1336</f>
        <v>247</v>
      </c>
      <c r="C1337" s="12">
        <f>B1337+1</f>
        <v>248</v>
      </c>
      <c r="D1337" s="12">
        <f>B1337+20</f>
        <v>267</v>
      </c>
    </row>
    <row r="1338" spans="1:4" x14ac:dyDescent="0.25">
      <c r="A1338" t="s">
        <v>75</v>
      </c>
      <c r="B1338" s="12">
        <f>B1337+1</f>
        <v>248</v>
      </c>
      <c r="C1338" s="12">
        <f>B1337+20</f>
        <v>267</v>
      </c>
      <c r="D1338" s="12">
        <f>C1338+1</f>
        <v>268</v>
      </c>
    </row>
    <row r="1339" spans="1:4" x14ac:dyDescent="0.25">
      <c r="A1339" t="s">
        <v>75</v>
      </c>
      <c r="B1339" s="12">
        <f>B1338</f>
        <v>248</v>
      </c>
      <c r="C1339" s="12">
        <f>B1339+1</f>
        <v>249</v>
      </c>
      <c r="D1339" s="12">
        <f>B1339+20</f>
        <v>268</v>
      </c>
    </row>
    <row r="1340" spans="1:4" x14ac:dyDescent="0.25">
      <c r="A1340" t="s">
        <v>75</v>
      </c>
      <c r="B1340" s="12">
        <f>B1339+1</f>
        <v>249</v>
      </c>
      <c r="C1340" s="12">
        <f>B1339+20</f>
        <v>268</v>
      </c>
      <c r="D1340" s="12">
        <f>C1340+1</f>
        <v>269</v>
      </c>
    </row>
    <row r="1341" spans="1:4" x14ac:dyDescent="0.25">
      <c r="A1341" t="s">
        <v>75</v>
      </c>
      <c r="B1341" s="12">
        <f>B1340</f>
        <v>249</v>
      </c>
      <c r="C1341" s="12">
        <f>B1341+1</f>
        <v>250</v>
      </c>
      <c r="D1341" s="12">
        <f>B1341+20</f>
        <v>269</v>
      </c>
    </row>
    <row r="1342" spans="1:4" x14ac:dyDescent="0.25">
      <c r="A1342" t="s">
        <v>75</v>
      </c>
      <c r="B1342" s="12">
        <f>B1341+1</f>
        <v>250</v>
      </c>
      <c r="C1342" s="12">
        <f>B1341+20</f>
        <v>269</v>
      </c>
      <c r="D1342" s="12">
        <f>C1342+1</f>
        <v>270</v>
      </c>
    </row>
    <row r="1343" spans="1:4" x14ac:dyDescent="0.25">
      <c r="A1343" t="s">
        <v>75</v>
      </c>
      <c r="B1343" s="12">
        <f>B1342</f>
        <v>250</v>
      </c>
      <c r="C1343" s="12">
        <f>B1343+1</f>
        <v>251</v>
      </c>
      <c r="D1343" s="12">
        <f>B1343+20</f>
        <v>270</v>
      </c>
    </row>
    <row r="1344" spans="1:4" x14ac:dyDescent="0.25">
      <c r="A1344" t="s">
        <v>75</v>
      </c>
      <c r="B1344" s="12">
        <f>B1343+1</f>
        <v>251</v>
      </c>
      <c r="C1344" s="12">
        <f>B1343+20</f>
        <v>270</v>
      </c>
      <c r="D1344" s="12">
        <f>C1344+1</f>
        <v>271</v>
      </c>
    </row>
    <row r="1345" spans="1:4" x14ac:dyDescent="0.25">
      <c r="A1345" t="s">
        <v>75</v>
      </c>
      <c r="B1345" s="12">
        <f>B1344</f>
        <v>251</v>
      </c>
      <c r="C1345" s="12">
        <f>B1345+1</f>
        <v>252</v>
      </c>
      <c r="D1345" s="12">
        <f>B1345+20</f>
        <v>271</v>
      </c>
    </row>
    <row r="1346" spans="1:4" x14ac:dyDescent="0.25">
      <c r="A1346" t="s">
        <v>75</v>
      </c>
      <c r="B1346" s="12">
        <f>B1345+1</f>
        <v>252</v>
      </c>
      <c r="C1346" s="12">
        <f>B1345+20</f>
        <v>271</v>
      </c>
      <c r="D1346" s="12">
        <f>C1346+1</f>
        <v>272</v>
      </c>
    </row>
    <row r="1347" spans="1:4" x14ac:dyDescent="0.25">
      <c r="A1347" t="s">
        <v>75</v>
      </c>
      <c r="B1347" s="12">
        <f>B1346</f>
        <v>252</v>
      </c>
      <c r="C1347" s="12">
        <f>B1347+1</f>
        <v>253</v>
      </c>
      <c r="D1347" s="12">
        <f>B1347+20</f>
        <v>272</v>
      </c>
    </row>
    <row r="1348" spans="1:4" x14ac:dyDescent="0.25">
      <c r="A1348" t="s">
        <v>75</v>
      </c>
      <c r="B1348" s="12">
        <f>B1347+1</f>
        <v>253</v>
      </c>
      <c r="C1348" s="12">
        <f>B1347+20</f>
        <v>272</v>
      </c>
      <c r="D1348" s="12">
        <f>C1348+1</f>
        <v>273</v>
      </c>
    </row>
    <row r="1349" spans="1:4" x14ac:dyDescent="0.25">
      <c r="A1349" t="s">
        <v>75</v>
      </c>
      <c r="B1349" s="12">
        <f>B1348</f>
        <v>253</v>
      </c>
      <c r="C1349" s="12">
        <f>B1349+1</f>
        <v>254</v>
      </c>
      <c r="D1349" s="12">
        <f>B1349+20</f>
        <v>273</v>
      </c>
    </row>
    <row r="1350" spans="1:4" x14ac:dyDescent="0.25">
      <c r="A1350" t="s">
        <v>75</v>
      </c>
      <c r="B1350" s="12">
        <f>B1349+1</f>
        <v>254</v>
      </c>
      <c r="C1350" s="12">
        <f>B1349+20</f>
        <v>273</v>
      </c>
      <c r="D1350" s="12">
        <f>C1350+1</f>
        <v>274</v>
      </c>
    </row>
    <row r="1351" spans="1:4" x14ac:dyDescent="0.25">
      <c r="A1351" t="s">
        <v>75</v>
      </c>
      <c r="B1351" s="12">
        <f>B1350</f>
        <v>254</v>
      </c>
      <c r="C1351" s="12">
        <f>B1351+1</f>
        <v>255</v>
      </c>
      <c r="D1351" s="12">
        <f>B1351+20</f>
        <v>274</v>
      </c>
    </row>
    <row r="1352" spans="1:4" x14ac:dyDescent="0.25">
      <c r="A1352" t="s">
        <v>75</v>
      </c>
      <c r="B1352" s="12">
        <f>B1351+1</f>
        <v>255</v>
      </c>
      <c r="C1352" s="12">
        <f>B1351+20</f>
        <v>274</v>
      </c>
      <c r="D1352" s="12">
        <f>C1352+1</f>
        <v>275</v>
      </c>
    </row>
    <row r="1353" spans="1:4" x14ac:dyDescent="0.25">
      <c r="A1353" t="s">
        <v>75</v>
      </c>
      <c r="B1353" s="12">
        <f>B1352</f>
        <v>255</v>
      </c>
      <c r="C1353" s="12">
        <f>B1353+1</f>
        <v>256</v>
      </c>
      <c r="D1353" s="12">
        <f>B1353+20</f>
        <v>275</v>
      </c>
    </row>
    <row r="1354" spans="1:4" x14ac:dyDescent="0.25">
      <c r="A1354" t="s">
        <v>75</v>
      </c>
      <c r="B1354" s="12">
        <f>B1353+1</f>
        <v>256</v>
      </c>
      <c r="C1354" s="12">
        <f>B1353+20</f>
        <v>275</v>
      </c>
      <c r="D1354" s="12">
        <f>C1354+1</f>
        <v>276</v>
      </c>
    </row>
    <row r="1355" spans="1:4" x14ac:dyDescent="0.25">
      <c r="A1355" t="s">
        <v>75</v>
      </c>
      <c r="B1355" s="12">
        <f>B1354</f>
        <v>256</v>
      </c>
      <c r="C1355" s="12">
        <f>B1355+1</f>
        <v>257</v>
      </c>
      <c r="D1355" s="12">
        <f>B1355+20</f>
        <v>276</v>
      </c>
    </row>
    <row r="1356" spans="1:4" x14ac:dyDescent="0.25">
      <c r="A1356" t="s">
        <v>75</v>
      </c>
      <c r="B1356" s="12">
        <f>B1355+1</f>
        <v>257</v>
      </c>
      <c r="C1356" s="12">
        <f>B1355+20</f>
        <v>276</v>
      </c>
      <c r="D1356" s="12">
        <f>C1356+1</f>
        <v>277</v>
      </c>
    </row>
    <row r="1357" spans="1:4" x14ac:dyDescent="0.25">
      <c r="A1357" t="s">
        <v>75</v>
      </c>
      <c r="B1357" s="12">
        <f>B1356</f>
        <v>257</v>
      </c>
      <c r="C1357" s="12">
        <f>B1357+1</f>
        <v>258</v>
      </c>
      <c r="D1357" s="12">
        <f>B1357+20</f>
        <v>277</v>
      </c>
    </row>
    <row r="1358" spans="1:4" x14ac:dyDescent="0.25">
      <c r="A1358" t="s">
        <v>75</v>
      </c>
      <c r="B1358" s="12">
        <f>B1357+1</f>
        <v>258</v>
      </c>
      <c r="C1358" s="12">
        <f>B1357+20</f>
        <v>277</v>
      </c>
      <c r="D1358" s="12">
        <f>C1358+1</f>
        <v>278</v>
      </c>
    </row>
    <row r="1359" spans="1:4" x14ac:dyDescent="0.25">
      <c r="A1359" t="s">
        <v>75</v>
      </c>
      <c r="B1359" s="12">
        <f>B1358</f>
        <v>258</v>
      </c>
      <c r="C1359" s="12">
        <f>B1359+1</f>
        <v>259</v>
      </c>
      <c r="D1359" s="12">
        <f>B1359+20</f>
        <v>278</v>
      </c>
    </row>
    <row r="1360" spans="1:4" x14ac:dyDescent="0.25">
      <c r="A1360" t="s">
        <v>75</v>
      </c>
      <c r="B1360" s="12">
        <f>B1359+1</f>
        <v>259</v>
      </c>
      <c r="C1360" s="12">
        <f>B1359+20</f>
        <v>278</v>
      </c>
      <c r="D1360" s="12">
        <f>C1360+1</f>
        <v>279</v>
      </c>
    </row>
    <row r="1361" spans="1:4" x14ac:dyDescent="0.25">
      <c r="A1361" t="s">
        <v>75</v>
      </c>
      <c r="B1361" s="12">
        <f>B1360</f>
        <v>259</v>
      </c>
      <c r="C1361" s="12">
        <f>B1361+1</f>
        <v>260</v>
      </c>
      <c r="D1361" s="12">
        <f>B1361+20</f>
        <v>279</v>
      </c>
    </row>
    <row r="1362" spans="1:4" x14ac:dyDescent="0.25">
      <c r="A1362" t="s">
        <v>75</v>
      </c>
      <c r="B1362" s="12">
        <f>B1361+1</f>
        <v>260</v>
      </c>
      <c r="C1362" s="12">
        <f>B1361+20</f>
        <v>279</v>
      </c>
      <c r="D1362" s="12">
        <f>C1362+1</f>
        <v>280</v>
      </c>
    </row>
    <row r="1363" spans="1:4" x14ac:dyDescent="0.25">
      <c r="A1363" t="s">
        <v>75</v>
      </c>
      <c r="B1363" s="12">
        <f>B1362</f>
        <v>260</v>
      </c>
      <c r="C1363" s="12">
        <f>B1363+1</f>
        <v>261</v>
      </c>
      <c r="D1363" s="12">
        <f>B1363+20</f>
        <v>280</v>
      </c>
    </row>
    <row r="1364" spans="1:4" x14ac:dyDescent="0.25">
      <c r="A1364" t="s">
        <v>75</v>
      </c>
      <c r="B1364" s="12">
        <f>B1363+1</f>
        <v>261</v>
      </c>
      <c r="C1364" s="12">
        <f>B1363+20</f>
        <v>280</v>
      </c>
      <c r="D1364" s="12">
        <f>C1364+1</f>
        <v>281</v>
      </c>
    </row>
    <row r="1365" spans="1:4" x14ac:dyDescent="0.25">
      <c r="A1365" t="s">
        <v>75</v>
      </c>
      <c r="B1365" s="12">
        <f>B1364</f>
        <v>261</v>
      </c>
      <c r="C1365" s="12">
        <f>B1365+1</f>
        <v>262</v>
      </c>
      <c r="D1365" s="12">
        <f>B1365+20</f>
        <v>281</v>
      </c>
    </row>
    <row r="1366" spans="1:4" x14ac:dyDescent="0.25">
      <c r="A1366" t="s">
        <v>75</v>
      </c>
      <c r="B1366" s="12">
        <f>B1365+1</f>
        <v>262</v>
      </c>
      <c r="C1366" s="12">
        <f>B1365+20</f>
        <v>281</v>
      </c>
      <c r="D1366" s="12">
        <f>C1366+1</f>
        <v>282</v>
      </c>
    </row>
    <row r="1367" spans="1:4" x14ac:dyDescent="0.25">
      <c r="A1367" t="s">
        <v>75</v>
      </c>
      <c r="B1367" s="12">
        <f>B1366</f>
        <v>262</v>
      </c>
      <c r="C1367" s="12">
        <f>B1367+1</f>
        <v>263</v>
      </c>
      <c r="D1367" s="12">
        <f>B1367+20</f>
        <v>282</v>
      </c>
    </row>
    <row r="1368" spans="1:4" x14ac:dyDescent="0.25">
      <c r="A1368" t="s">
        <v>75</v>
      </c>
      <c r="B1368" s="12">
        <f>B1367+1</f>
        <v>263</v>
      </c>
      <c r="C1368" s="12">
        <f>B1367+20</f>
        <v>282</v>
      </c>
      <c r="D1368" s="12">
        <f>C1368+1</f>
        <v>283</v>
      </c>
    </row>
    <row r="1369" spans="1:4" x14ac:dyDescent="0.25">
      <c r="A1369" t="s">
        <v>75</v>
      </c>
      <c r="B1369" s="12">
        <f>B1368</f>
        <v>263</v>
      </c>
      <c r="C1369" s="12">
        <f>B1369+1</f>
        <v>264</v>
      </c>
      <c r="D1369" s="12">
        <f>B1369+20</f>
        <v>283</v>
      </c>
    </row>
    <row r="1370" spans="1:4" x14ac:dyDescent="0.25">
      <c r="A1370" t="s">
        <v>75</v>
      </c>
      <c r="B1370" s="12">
        <f>B1369+1</f>
        <v>264</v>
      </c>
      <c r="C1370" s="12">
        <f>B1369+20</f>
        <v>283</v>
      </c>
      <c r="D1370" s="12">
        <f>C1370+1</f>
        <v>284</v>
      </c>
    </row>
    <row r="1371" spans="1:4" x14ac:dyDescent="0.25">
      <c r="A1371" t="s">
        <v>75</v>
      </c>
      <c r="B1371" s="12">
        <f>B1370</f>
        <v>264</v>
      </c>
      <c r="C1371" s="12">
        <f>B1371+1</f>
        <v>265</v>
      </c>
      <c r="D1371" s="12">
        <f>B1371+20</f>
        <v>284</v>
      </c>
    </row>
    <row r="1372" spans="1:4" x14ac:dyDescent="0.25">
      <c r="A1372" t="s">
        <v>75</v>
      </c>
      <c r="B1372" s="12">
        <f>B1371+1</f>
        <v>265</v>
      </c>
      <c r="C1372" s="12">
        <f>B1371+20</f>
        <v>284</v>
      </c>
      <c r="D1372" s="12">
        <f>C1372+1</f>
        <v>285</v>
      </c>
    </row>
    <row r="1373" spans="1:4" x14ac:dyDescent="0.25">
      <c r="A1373" t="s">
        <v>75</v>
      </c>
      <c r="B1373" s="12">
        <f>B1372</f>
        <v>265</v>
      </c>
      <c r="C1373" s="12">
        <f>B1373+1</f>
        <v>266</v>
      </c>
      <c r="D1373" s="12">
        <f>B1373+20</f>
        <v>285</v>
      </c>
    </row>
    <row r="1374" spans="1:4" x14ac:dyDescent="0.25">
      <c r="A1374" t="s">
        <v>75</v>
      </c>
      <c r="B1374" s="12">
        <f>B1373+1</f>
        <v>266</v>
      </c>
      <c r="C1374" s="12">
        <f>B1373+20</f>
        <v>285</v>
      </c>
      <c r="D1374" s="12">
        <f>C1374+1</f>
        <v>286</v>
      </c>
    </row>
    <row r="1375" spans="1:4" x14ac:dyDescent="0.25">
      <c r="A1375" t="s">
        <v>75</v>
      </c>
      <c r="B1375" s="12">
        <f>B1374</f>
        <v>266</v>
      </c>
      <c r="C1375" s="12">
        <f>B1375+1</f>
        <v>267</v>
      </c>
      <c r="D1375" s="12">
        <f>B1375+20</f>
        <v>286</v>
      </c>
    </row>
    <row r="1376" spans="1:4" x14ac:dyDescent="0.25">
      <c r="A1376" t="s">
        <v>75</v>
      </c>
      <c r="B1376" s="12">
        <f>B1375+1</f>
        <v>267</v>
      </c>
      <c r="C1376" s="12">
        <f>B1375+20</f>
        <v>286</v>
      </c>
      <c r="D1376" s="12">
        <f>C1376+1</f>
        <v>287</v>
      </c>
    </row>
    <row r="1377" spans="1:4" x14ac:dyDescent="0.25">
      <c r="A1377" t="s">
        <v>75</v>
      </c>
      <c r="B1377" s="12">
        <f>B1376</f>
        <v>267</v>
      </c>
      <c r="C1377" s="12">
        <f>B1377+1</f>
        <v>268</v>
      </c>
      <c r="D1377" s="12">
        <f>B1377+20</f>
        <v>287</v>
      </c>
    </row>
    <row r="1378" spans="1:4" x14ac:dyDescent="0.25">
      <c r="A1378" t="s">
        <v>75</v>
      </c>
      <c r="B1378" s="12">
        <f>B1377+1</f>
        <v>268</v>
      </c>
      <c r="C1378" s="12">
        <f>B1377+20</f>
        <v>287</v>
      </c>
      <c r="D1378" s="12">
        <f>C1378+1</f>
        <v>288</v>
      </c>
    </row>
    <row r="1379" spans="1:4" x14ac:dyDescent="0.25">
      <c r="A1379" t="s">
        <v>75</v>
      </c>
      <c r="B1379" s="12">
        <f>B1378</f>
        <v>268</v>
      </c>
      <c r="C1379" s="12">
        <f>B1379+1</f>
        <v>269</v>
      </c>
      <c r="D1379" s="12">
        <f>B1379+20</f>
        <v>288</v>
      </c>
    </row>
    <row r="1380" spans="1:4" x14ac:dyDescent="0.25">
      <c r="A1380" t="s">
        <v>75</v>
      </c>
      <c r="B1380" s="12">
        <f>B1379+1</f>
        <v>269</v>
      </c>
      <c r="C1380" s="12">
        <f>B1379+20</f>
        <v>288</v>
      </c>
      <c r="D1380" s="12">
        <f>C1380+1</f>
        <v>289</v>
      </c>
    </row>
    <row r="1381" spans="1:4" x14ac:dyDescent="0.25">
      <c r="A1381" t="s">
        <v>75</v>
      </c>
      <c r="B1381" s="12">
        <f>B1380</f>
        <v>269</v>
      </c>
      <c r="C1381" s="12">
        <f>B1381+1</f>
        <v>270</v>
      </c>
      <c r="D1381" s="12">
        <f>B1381+20</f>
        <v>289</v>
      </c>
    </row>
    <row r="1382" spans="1:4" x14ac:dyDescent="0.25">
      <c r="A1382" t="s">
        <v>75</v>
      </c>
      <c r="B1382" s="12">
        <f>B1381+1</f>
        <v>270</v>
      </c>
      <c r="C1382" s="12">
        <f>B1381+20</f>
        <v>289</v>
      </c>
      <c r="D1382" s="12">
        <f>C1382+1</f>
        <v>290</v>
      </c>
    </row>
    <row r="1383" spans="1:4" x14ac:dyDescent="0.25">
      <c r="A1383" t="s">
        <v>75</v>
      </c>
      <c r="B1383" s="12">
        <f>B1382</f>
        <v>270</v>
      </c>
      <c r="C1383" s="12">
        <f>B1383+1</f>
        <v>271</v>
      </c>
      <c r="D1383" s="12">
        <f>B1383+20</f>
        <v>290</v>
      </c>
    </row>
    <row r="1384" spans="1:4" x14ac:dyDescent="0.25">
      <c r="A1384" t="s">
        <v>75</v>
      </c>
      <c r="B1384" s="12">
        <f>B1383+1</f>
        <v>271</v>
      </c>
      <c r="C1384" s="12">
        <f>B1383+20</f>
        <v>290</v>
      </c>
      <c r="D1384" s="12">
        <f>C1384+1</f>
        <v>291</v>
      </c>
    </row>
    <row r="1385" spans="1:4" x14ac:dyDescent="0.25">
      <c r="A1385" t="s">
        <v>75</v>
      </c>
      <c r="B1385" s="12">
        <f>B1384</f>
        <v>271</v>
      </c>
      <c r="C1385" s="12">
        <f>B1385+1</f>
        <v>272</v>
      </c>
      <c r="D1385" s="12">
        <f>B1385+20</f>
        <v>291</v>
      </c>
    </row>
    <row r="1386" spans="1:4" x14ac:dyDescent="0.25">
      <c r="A1386" t="s">
        <v>75</v>
      </c>
      <c r="B1386" s="12">
        <f>B1385+1</f>
        <v>272</v>
      </c>
      <c r="C1386" s="12">
        <f>B1385+20</f>
        <v>291</v>
      </c>
      <c r="D1386" s="12">
        <f>C1386+1</f>
        <v>292</v>
      </c>
    </row>
    <row r="1387" spans="1:4" x14ac:dyDescent="0.25">
      <c r="A1387" t="s">
        <v>75</v>
      </c>
      <c r="B1387" s="12">
        <f>B1386</f>
        <v>272</v>
      </c>
      <c r="C1387" s="12">
        <f>B1387+1</f>
        <v>273</v>
      </c>
      <c r="D1387" s="12">
        <f>B1387+20</f>
        <v>292</v>
      </c>
    </row>
    <row r="1388" spans="1:4" x14ac:dyDescent="0.25">
      <c r="A1388" t="s">
        <v>75</v>
      </c>
      <c r="B1388" s="12">
        <f>B1387+1</f>
        <v>273</v>
      </c>
      <c r="C1388" s="12">
        <f>B1387+20</f>
        <v>292</v>
      </c>
      <c r="D1388" s="12">
        <f>C1388+1</f>
        <v>293</v>
      </c>
    </row>
    <row r="1389" spans="1:4" x14ac:dyDescent="0.25">
      <c r="A1389" t="s">
        <v>75</v>
      </c>
      <c r="B1389" s="12">
        <f>B1388</f>
        <v>273</v>
      </c>
      <c r="C1389" s="12">
        <f>B1389+1</f>
        <v>274</v>
      </c>
      <c r="D1389" s="12">
        <f>B1389+20</f>
        <v>293</v>
      </c>
    </row>
    <row r="1390" spans="1:4" x14ac:dyDescent="0.25">
      <c r="A1390" t="s">
        <v>75</v>
      </c>
      <c r="B1390" s="12">
        <f>B1389+1</f>
        <v>274</v>
      </c>
      <c r="C1390" s="12">
        <f>B1389+20</f>
        <v>293</v>
      </c>
      <c r="D1390" s="12">
        <f>C1390+1</f>
        <v>294</v>
      </c>
    </row>
    <row r="1391" spans="1:4" x14ac:dyDescent="0.25">
      <c r="A1391" t="s">
        <v>75</v>
      </c>
      <c r="B1391" s="12">
        <f>B1390</f>
        <v>274</v>
      </c>
      <c r="C1391" s="12">
        <f>B1391+1</f>
        <v>275</v>
      </c>
      <c r="D1391" s="12">
        <f>B1391+20</f>
        <v>294</v>
      </c>
    </row>
    <row r="1392" spans="1:4" x14ac:dyDescent="0.25">
      <c r="A1392" t="s">
        <v>75</v>
      </c>
      <c r="B1392" s="12">
        <f>B1391+1</f>
        <v>275</v>
      </c>
      <c r="C1392" s="12">
        <f>B1391+20</f>
        <v>294</v>
      </c>
      <c r="D1392" s="12">
        <f>C1392+1</f>
        <v>295</v>
      </c>
    </row>
    <row r="1393" spans="1:4" x14ac:dyDescent="0.25">
      <c r="A1393" t="s">
        <v>75</v>
      </c>
      <c r="B1393" s="12">
        <f>B1392</f>
        <v>275</v>
      </c>
      <c r="C1393" s="12">
        <f>B1393+1</f>
        <v>276</v>
      </c>
      <c r="D1393" s="12">
        <f>B1393+20</f>
        <v>295</v>
      </c>
    </row>
    <row r="1394" spans="1:4" x14ac:dyDescent="0.25">
      <c r="A1394" t="s">
        <v>75</v>
      </c>
      <c r="B1394" s="12">
        <f>B1393+1</f>
        <v>276</v>
      </c>
      <c r="C1394" s="12">
        <f>B1393+20</f>
        <v>295</v>
      </c>
      <c r="D1394" s="12">
        <f>C1394+1</f>
        <v>296</v>
      </c>
    </row>
    <row r="1395" spans="1:4" x14ac:dyDescent="0.25">
      <c r="A1395" t="s">
        <v>75</v>
      </c>
      <c r="B1395" s="12">
        <f>B1394</f>
        <v>276</v>
      </c>
      <c r="C1395" s="12">
        <f>B1395+1</f>
        <v>277</v>
      </c>
      <c r="D1395" s="12">
        <f>B1395+20</f>
        <v>296</v>
      </c>
    </row>
    <row r="1396" spans="1:4" x14ac:dyDescent="0.25">
      <c r="A1396" t="s">
        <v>75</v>
      </c>
      <c r="B1396" s="12">
        <f>B1395+1</f>
        <v>277</v>
      </c>
      <c r="C1396" s="12">
        <f>B1395+20</f>
        <v>296</v>
      </c>
      <c r="D1396" s="12">
        <f>C1396+1</f>
        <v>297</v>
      </c>
    </row>
    <row r="1397" spans="1:4" x14ac:dyDescent="0.25">
      <c r="A1397" t="s">
        <v>75</v>
      </c>
      <c r="B1397" s="12">
        <f>B1396</f>
        <v>277</v>
      </c>
      <c r="C1397" s="12">
        <f>B1397+1</f>
        <v>278</v>
      </c>
      <c r="D1397" s="12">
        <f>B1397+20</f>
        <v>297</v>
      </c>
    </row>
    <row r="1398" spans="1:4" x14ac:dyDescent="0.25">
      <c r="A1398" t="s">
        <v>75</v>
      </c>
      <c r="B1398" s="12">
        <f>B1397+1</f>
        <v>278</v>
      </c>
      <c r="C1398" s="12">
        <f>B1397+20</f>
        <v>297</v>
      </c>
      <c r="D1398" s="12">
        <f>C1398+1</f>
        <v>298</v>
      </c>
    </row>
    <row r="1399" spans="1:4" x14ac:dyDescent="0.25">
      <c r="A1399" t="s">
        <v>75</v>
      </c>
      <c r="B1399" s="12">
        <f>B1398</f>
        <v>278</v>
      </c>
      <c r="C1399" s="12">
        <f>B1399+1</f>
        <v>279</v>
      </c>
      <c r="D1399" s="12">
        <f>B1399+20</f>
        <v>298</v>
      </c>
    </row>
    <row r="1400" spans="1:4" x14ac:dyDescent="0.25">
      <c r="A1400" t="s">
        <v>75</v>
      </c>
      <c r="B1400" s="12">
        <f>B1399+1</f>
        <v>279</v>
      </c>
      <c r="C1400" s="12">
        <f>B1399+20</f>
        <v>298</v>
      </c>
      <c r="D1400" s="12">
        <f>C1400+1</f>
        <v>299</v>
      </c>
    </row>
    <row r="1401" spans="1:4" x14ac:dyDescent="0.25">
      <c r="A1401" t="s">
        <v>75</v>
      </c>
      <c r="B1401" s="12">
        <f>B1400</f>
        <v>279</v>
      </c>
      <c r="C1401" s="12">
        <f>B1401+1</f>
        <v>280</v>
      </c>
      <c r="D1401" s="12">
        <f>B1401+20</f>
        <v>299</v>
      </c>
    </row>
    <row r="1402" spans="1:4" x14ac:dyDescent="0.25">
      <c r="A1402" t="s">
        <v>75</v>
      </c>
      <c r="B1402" s="12">
        <f>B1401+1</f>
        <v>280</v>
      </c>
      <c r="C1402" s="12">
        <f>B1401+20</f>
        <v>299</v>
      </c>
      <c r="D1402" s="12">
        <f>C1402+1</f>
        <v>300</v>
      </c>
    </row>
    <row r="1403" spans="1:4" x14ac:dyDescent="0.25">
      <c r="A1403" t="s">
        <v>75</v>
      </c>
      <c r="B1403" s="12">
        <f>B1402</f>
        <v>280</v>
      </c>
      <c r="C1403" s="12">
        <f>B1403+1</f>
        <v>281</v>
      </c>
      <c r="D1403" s="12">
        <f>B1403+20</f>
        <v>300</v>
      </c>
    </row>
    <row r="1404" spans="1:4" x14ac:dyDescent="0.25">
      <c r="A1404" t="s">
        <v>75</v>
      </c>
      <c r="B1404" s="12">
        <f>B1403+1</f>
        <v>281</v>
      </c>
      <c r="C1404" s="12">
        <f>B1403+20</f>
        <v>300</v>
      </c>
      <c r="D1404" s="12">
        <f>C1404+1</f>
        <v>301</v>
      </c>
    </row>
    <row r="1405" spans="1:4" x14ac:dyDescent="0.25">
      <c r="A1405" t="s">
        <v>75</v>
      </c>
      <c r="B1405" s="12">
        <f>B1404</f>
        <v>281</v>
      </c>
      <c r="C1405" s="12">
        <f>B1405+1</f>
        <v>282</v>
      </c>
      <c r="D1405" s="12">
        <f>B1405+20</f>
        <v>301</v>
      </c>
    </row>
    <row r="1406" spans="1:4" x14ac:dyDescent="0.25">
      <c r="A1406" t="s">
        <v>75</v>
      </c>
      <c r="B1406" s="12">
        <f>B1405+1</f>
        <v>282</v>
      </c>
      <c r="C1406" s="12">
        <f>B1405+20</f>
        <v>301</v>
      </c>
      <c r="D1406" s="12">
        <f>C1406+1</f>
        <v>302</v>
      </c>
    </row>
    <row r="1407" spans="1:4" x14ac:dyDescent="0.25">
      <c r="A1407" t="s">
        <v>75</v>
      </c>
      <c r="B1407" s="12">
        <f>B1406</f>
        <v>282</v>
      </c>
      <c r="C1407" s="12">
        <f>B1407+1</f>
        <v>283</v>
      </c>
      <c r="D1407" s="12">
        <f>B1407+20</f>
        <v>302</v>
      </c>
    </row>
    <row r="1408" spans="1:4" x14ac:dyDescent="0.25">
      <c r="A1408" t="s">
        <v>75</v>
      </c>
      <c r="B1408" s="12">
        <f>B1407+1</f>
        <v>283</v>
      </c>
      <c r="C1408" s="12">
        <f>B1407+20</f>
        <v>302</v>
      </c>
      <c r="D1408" s="12">
        <f>C1408+1</f>
        <v>303</v>
      </c>
    </row>
    <row r="1409" spans="1:4" x14ac:dyDescent="0.25">
      <c r="A1409" t="s">
        <v>75</v>
      </c>
      <c r="B1409" s="12">
        <f>B1408</f>
        <v>283</v>
      </c>
      <c r="C1409" s="12">
        <f>B1409+1</f>
        <v>284</v>
      </c>
      <c r="D1409" s="12">
        <f>B1409+20</f>
        <v>303</v>
      </c>
    </row>
    <row r="1410" spans="1:4" x14ac:dyDescent="0.25">
      <c r="A1410" t="s">
        <v>75</v>
      </c>
      <c r="B1410" s="12">
        <f>B1409+1</f>
        <v>284</v>
      </c>
      <c r="C1410" s="12">
        <f>B1409+20</f>
        <v>303</v>
      </c>
      <c r="D1410" s="12">
        <f>C1410+1</f>
        <v>304</v>
      </c>
    </row>
    <row r="1411" spans="1:4" x14ac:dyDescent="0.25">
      <c r="A1411" t="s">
        <v>75</v>
      </c>
      <c r="B1411" s="12">
        <f>B1410</f>
        <v>284</v>
      </c>
      <c r="C1411" s="12">
        <f>B1411+1</f>
        <v>285</v>
      </c>
      <c r="D1411" s="12">
        <f>B1411+20</f>
        <v>304</v>
      </c>
    </row>
    <row r="1412" spans="1:4" x14ac:dyDescent="0.25">
      <c r="A1412" t="s">
        <v>75</v>
      </c>
      <c r="B1412" s="12">
        <f>B1411+1</f>
        <v>285</v>
      </c>
      <c r="C1412" s="12">
        <f>B1411+20</f>
        <v>304</v>
      </c>
      <c r="D1412" s="12">
        <f>C1412+1</f>
        <v>305</v>
      </c>
    </row>
    <row r="1413" spans="1:4" x14ac:dyDescent="0.25">
      <c r="A1413" t="s">
        <v>75</v>
      </c>
      <c r="B1413" s="12">
        <f>B1412</f>
        <v>285</v>
      </c>
      <c r="C1413" s="12">
        <f>B1413+1</f>
        <v>286</v>
      </c>
      <c r="D1413" s="12">
        <f>B1413+20</f>
        <v>305</v>
      </c>
    </row>
    <row r="1414" spans="1:4" x14ac:dyDescent="0.25">
      <c r="A1414" t="s">
        <v>75</v>
      </c>
      <c r="B1414" s="12">
        <f>B1413+1</f>
        <v>286</v>
      </c>
      <c r="C1414" s="12">
        <f>B1413+20</f>
        <v>305</v>
      </c>
      <c r="D1414" s="12">
        <f>C1414+1</f>
        <v>306</v>
      </c>
    </row>
    <row r="1415" spans="1:4" x14ac:dyDescent="0.25">
      <c r="A1415" t="s">
        <v>75</v>
      </c>
      <c r="B1415" s="12">
        <f>B1414</f>
        <v>286</v>
      </c>
      <c r="C1415" s="12">
        <f>B1415+1</f>
        <v>287</v>
      </c>
      <c r="D1415" s="12">
        <f>B1415+20</f>
        <v>306</v>
      </c>
    </row>
    <row r="1416" spans="1:4" x14ac:dyDescent="0.25">
      <c r="A1416" t="s">
        <v>75</v>
      </c>
      <c r="B1416" s="12">
        <f>B1415+1</f>
        <v>287</v>
      </c>
      <c r="C1416" s="12">
        <f>B1415+20</f>
        <v>306</v>
      </c>
      <c r="D1416" s="12">
        <f>C1416+1</f>
        <v>307</v>
      </c>
    </row>
    <row r="1417" spans="1:4" x14ac:dyDescent="0.25">
      <c r="A1417" t="s">
        <v>75</v>
      </c>
      <c r="B1417" s="12">
        <f>B1416</f>
        <v>287</v>
      </c>
      <c r="C1417" s="12">
        <f>B1417+1</f>
        <v>288</v>
      </c>
      <c r="D1417" s="12">
        <f>B1417+20</f>
        <v>307</v>
      </c>
    </row>
    <row r="1418" spans="1:4" x14ac:dyDescent="0.25">
      <c r="A1418" t="s">
        <v>75</v>
      </c>
      <c r="B1418" s="12">
        <f>B1417+1</f>
        <v>288</v>
      </c>
      <c r="C1418" s="12">
        <f>B1417+20</f>
        <v>307</v>
      </c>
      <c r="D1418" s="12">
        <f>C1418+1</f>
        <v>308</v>
      </c>
    </row>
    <row r="1419" spans="1:4" x14ac:dyDescent="0.25">
      <c r="A1419" t="s">
        <v>75</v>
      </c>
      <c r="B1419" s="12">
        <f>B1418</f>
        <v>288</v>
      </c>
      <c r="C1419" s="12">
        <f>B1419+1</f>
        <v>289</v>
      </c>
      <c r="D1419" s="12">
        <f>B1419+20</f>
        <v>308</v>
      </c>
    </row>
    <row r="1420" spans="1:4" x14ac:dyDescent="0.25">
      <c r="A1420" t="s">
        <v>75</v>
      </c>
      <c r="B1420" s="12">
        <f>B1419+1</f>
        <v>289</v>
      </c>
      <c r="C1420" s="12">
        <f>B1419+20</f>
        <v>308</v>
      </c>
      <c r="D1420" s="12">
        <f>C1420+1</f>
        <v>309</v>
      </c>
    </row>
    <row r="1421" spans="1:4" x14ac:dyDescent="0.25">
      <c r="A1421" t="s">
        <v>75</v>
      </c>
      <c r="B1421" s="12">
        <f>B1420</f>
        <v>289</v>
      </c>
      <c r="C1421" s="12">
        <f>B1421+1</f>
        <v>290</v>
      </c>
      <c r="D1421" s="12">
        <f>B1421+20</f>
        <v>309</v>
      </c>
    </row>
    <row r="1422" spans="1:4" x14ac:dyDescent="0.25">
      <c r="A1422" t="s">
        <v>75</v>
      </c>
      <c r="B1422" s="12">
        <f>B1421+1</f>
        <v>290</v>
      </c>
      <c r="C1422" s="12">
        <f>B1421+20</f>
        <v>309</v>
      </c>
      <c r="D1422" s="12">
        <f>C1422+1</f>
        <v>310</v>
      </c>
    </row>
    <row r="1423" spans="1:4" x14ac:dyDescent="0.25">
      <c r="A1423" t="s">
        <v>75</v>
      </c>
      <c r="B1423" s="12">
        <f>B1422</f>
        <v>290</v>
      </c>
      <c r="C1423" s="12">
        <f>B1423+1</f>
        <v>291</v>
      </c>
      <c r="D1423" s="12">
        <f>B1423+20</f>
        <v>310</v>
      </c>
    </row>
    <row r="1424" spans="1:4" x14ac:dyDescent="0.25">
      <c r="A1424" t="s">
        <v>75</v>
      </c>
      <c r="B1424" s="12">
        <f>B1423+1</f>
        <v>291</v>
      </c>
      <c r="C1424" s="12">
        <f>B1423+20</f>
        <v>310</v>
      </c>
      <c r="D1424" s="12">
        <f>C1424+1</f>
        <v>311</v>
      </c>
    </row>
    <row r="1425" spans="1:4" x14ac:dyDescent="0.25">
      <c r="A1425" t="s">
        <v>75</v>
      </c>
      <c r="B1425" s="12">
        <f>B1424</f>
        <v>291</v>
      </c>
      <c r="C1425" s="12">
        <f>B1425+1</f>
        <v>292</v>
      </c>
      <c r="D1425" s="12">
        <f>B1425+20</f>
        <v>311</v>
      </c>
    </row>
    <row r="1426" spans="1:4" x14ac:dyDescent="0.25">
      <c r="A1426" t="s">
        <v>75</v>
      </c>
      <c r="B1426" s="12">
        <f>B1425+1</f>
        <v>292</v>
      </c>
      <c r="C1426" s="12">
        <f>B1425+20</f>
        <v>311</v>
      </c>
      <c r="D1426" s="12">
        <f>C1426+1</f>
        <v>312</v>
      </c>
    </row>
    <row r="1427" spans="1:4" x14ac:dyDescent="0.25">
      <c r="A1427" t="s">
        <v>75</v>
      </c>
      <c r="B1427" s="12">
        <f>B1426</f>
        <v>292</v>
      </c>
      <c r="C1427" s="12">
        <f>B1427+1</f>
        <v>293</v>
      </c>
      <c r="D1427" s="12">
        <f>B1427+20</f>
        <v>312</v>
      </c>
    </row>
    <row r="1428" spans="1:4" x14ac:dyDescent="0.25">
      <c r="A1428" t="s">
        <v>75</v>
      </c>
      <c r="B1428" s="12">
        <f>B1427+1</f>
        <v>293</v>
      </c>
      <c r="C1428" s="12">
        <f>B1427+20</f>
        <v>312</v>
      </c>
      <c r="D1428" s="12">
        <f>C1428+1</f>
        <v>313</v>
      </c>
    </row>
    <row r="1429" spans="1:4" x14ac:dyDescent="0.25">
      <c r="A1429" t="s">
        <v>75</v>
      </c>
      <c r="B1429" s="12">
        <f>B1428</f>
        <v>293</v>
      </c>
      <c r="C1429" s="12">
        <f>B1429+1</f>
        <v>294</v>
      </c>
      <c r="D1429" s="12">
        <f>B1429+20</f>
        <v>313</v>
      </c>
    </row>
    <row r="1430" spans="1:4" x14ac:dyDescent="0.25">
      <c r="A1430" t="s">
        <v>75</v>
      </c>
      <c r="B1430" s="12">
        <f>B1429+1</f>
        <v>294</v>
      </c>
      <c r="C1430" s="12">
        <f>B1429+20</f>
        <v>313</v>
      </c>
      <c r="D1430" s="12">
        <f>C1430+1</f>
        <v>314</v>
      </c>
    </row>
    <row r="1431" spans="1:4" x14ac:dyDescent="0.25">
      <c r="A1431" t="s">
        <v>75</v>
      </c>
      <c r="B1431" s="12">
        <f>B1430</f>
        <v>294</v>
      </c>
      <c r="C1431" s="12">
        <f>B1431+1</f>
        <v>295</v>
      </c>
      <c r="D1431" s="12">
        <f>B1431+20</f>
        <v>314</v>
      </c>
    </row>
    <row r="1432" spans="1:4" x14ac:dyDescent="0.25">
      <c r="A1432" t="s">
        <v>75</v>
      </c>
      <c r="B1432" s="12">
        <f>B1431+1</f>
        <v>295</v>
      </c>
      <c r="C1432" s="12">
        <f>B1431+20</f>
        <v>314</v>
      </c>
      <c r="D1432" s="12">
        <f>C1432+1</f>
        <v>315</v>
      </c>
    </row>
    <row r="1433" spans="1:4" x14ac:dyDescent="0.25">
      <c r="A1433" t="s">
        <v>75</v>
      </c>
      <c r="B1433" s="12">
        <f>B1432</f>
        <v>295</v>
      </c>
      <c r="C1433" s="12">
        <f>B1433+1</f>
        <v>296</v>
      </c>
      <c r="D1433" s="12">
        <f>B1433+20</f>
        <v>315</v>
      </c>
    </row>
    <row r="1434" spans="1:4" x14ac:dyDescent="0.25">
      <c r="A1434" t="s">
        <v>75</v>
      </c>
      <c r="B1434" s="12">
        <f>B1433+1</f>
        <v>296</v>
      </c>
      <c r="C1434" s="12">
        <f>B1433+20</f>
        <v>315</v>
      </c>
      <c r="D1434" s="12">
        <f>C1434+1</f>
        <v>316</v>
      </c>
    </row>
    <row r="1435" spans="1:4" x14ac:dyDescent="0.25">
      <c r="A1435" t="s">
        <v>75</v>
      </c>
      <c r="B1435" s="12">
        <f>B1434</f>
        <v>296</v>
      </c>
      <c r="C1435" s="12">
        <f>B1435+1</f>
        <v>297</v>
      </c>
      <c r="D1435" s="12">
        <f>B1435+20</f>
        <v>316</v>
      </c>
    </row>
    <row r="1436" spans="1:4" x14ac:dyDescent="0.25">
      <c r="A1436" t="s">
        <v>75</v>
      </c>
      <c r="B1436" s="12">
        <f>B1435+1</f>
        <v>297</v>
      </c>
      <c r="C1436" s="12">
        <f>B1435+20</f>
        <v>316</v>
      </c>
      <c r="D1436" s="12">
        <f>C1436+1</f>
        <v>317</v>
      </c>
    </row>
    <row r="1437" spans="1:4" x14ac:dyDescent="0.25">
      <c r="A1437" t="s">
        <v>75</v>
      </c>
      <c r="B1437" s="12">
        <f>B1436</f>
        <v>297</v>
      </c>
      <c r="C1437" s="12">
        <f>B1437+1</f>
        <v>298</v>
      </c>
      <c r="D1437" s="12">
        <f>B1437+20</f>
        <v>317</v>
      </c>
    </row>
    <row r="1438" spans="1:4" x14ac:dyDescent="0.25">
      <c r="A1438" t="s">
        <v>75</v>
      </c>
      <c r="B1438" s="12">
        <f>B1437+1</f>
        <v>298</v>
      </c>
      <c r="C1438" s="12">
        <f>B1437+20</f>
        <v>317</v>
      </c>
      <c r="D1438" s="12">
        <f>C1438+1</f>
        <v>318</v>
      </c>
    </row>
    <row r="1439" spans="1:4" x14ac:dyDescent="0.25">
      <c r="A1439" t="s">
        <v>75</v>
      </c>
      <c r="B1439" s="12">
        <f>B1438</f>
        <v>298</v>
      </c>
      <c r="C1439" s="12">
        <f>B1439+1</f>
        <v>299</v>
      </c>
      <c r="D1439" s="12">
        <f>B1439+20</f>
        <v>318</v>
      </c>
    </row>
    <row r="1440" spans="1:4" x14ac:dyDescent="0.25">
      <c r="A1440" t="s">
        <v>75</v>
      </c>
      <c r="B1440" s="12">
        <f>B1439+1</f>
        <v>299</v>
      </c>
      <c r="C1440" s="12">
        <f>B1439+20</f>
        <v>318</v>
      </c>
      <c r="D1440" s="12">
        <f>C1440+1</f>
        <v>319</v>
      </c>
    </row>
    <row r="1441" spans="1:4" x14ac:dyDescent="0.25">
      <c r="A1441" t="s">
        <v>75</v>
      </c>
      <c r="B1441" s="12">
        <f>B1440</f>
        <v>299</v>
      </c>
      <c r="C1441" s="12">
        <f>B1441+1</f>
        <v>300</v>
      </c>
      <c r="D1441" s="12">
        <f>B1441+20</f>
        <v>319</v>
      </c>
    </row>
    <row r="1442" spans="1:4" x14ac:dyDescent="0.25">
      <c r="A1442" t="s">
        <v>75</v>
      </c>
      <c r="B1442" s="12">
        <f>B1441+1</f>
        <v>300</v>
      </c>
      <c r="C1442" s="12">
        <f>B1441+20</f>
        <v>319</v>
      </c>
      <c r="D1442" s="12">
        <f>C1442+1</f>
        <v>320</v>
      </c>
    </row>
    <row r="1443" spans="1:4" x14ac:dyDescent="0.25">
      <c r="A1443" t="s">
        <v>75</v>
      </c>
      <c r="B1443" s="12">
        <f>B1442</f>
        <v>300</v>
      </c>
      <c r="C1443" s="12">
        <f>B1443+1</f>
        <v>301</v>
      </c>
      <c r="D1443" s="12">
        <f>B1443+20</f>
        <v>320</v>
      </c>
    </row>
    <row r="1444" spans="1:4" x14ac:dyDescent="0.25">
      <c r="A1444" t="s">
        <v>75</v>
      </c>
      <c r="B1444" s="12">
        <f>B1443+1</f>
        <v>301</v>
      </c>
      <c r="C1444" s="12">
        <f>B1443+20</f>
        <v>320</v>
      </c>
      <c r="D1444" s="12">
        <f>C1444+1</f>
        <v>321</v>
      </c>
    </row>
    <row r="1445" spans="1:4" x14ac:dyDescent="0.25">
      <c r="A1445" t="s">
        <v>75</v>
      </c>
      <c r="B1445" s="12">
        <f>B1444</f>
        <v>301</v>
      </c>
      <c r="C1445" s="12">
        <f>B1445+1</f>
        <v>302</v>
      </c>
      <c r="D1445" s="12">
        <f>B1445+20</f>
        <v>321</v>
      </c>
    </row>
    <row r="1446" spans="1:4" x14ac:dyDescent="0.25">
      <c r="A1446" t="s">
        <v>75</v>
      </c>
      <c r="B1446" s="12">
        <f>B1445+1</f>
        <v>302</v>
      </c>
      <c r="C1446" s="12">
        <f>B1445+20</f>
        <v>321</v>
      </c>
      <c r="D1446" s="12">
        <f>C1446+1</f>
        <v>322</v>
      </c>
    </row>
    <row r="1447" spans="1:4" x14ac:dyDescent="0.25">
      <c r="A1447" t="s">
        <v>75</v>
      </c>
      <c r="B1447" s="12">
        <f>B1446</f>
        <v>302</v>
      </c>
      <c r="C1447" s="12">
        <f>B1447+1</f>
        <v>303</v>
      </c>
      <c r="D1447" s="12">
        <f>B1447+20</f>
        <v>322</v>
      </c>
    </row>
    <row r="1448" spans="1:4" x14ac:dyDescent="0.25">
      <c r="A1448" t="s">
        <v>75</v>
      </c>
      <c r="B1448" s="12">
        <f>B1447+1</f>
        <v>303</v>
      </c>
      <c r="C1448" s="12">
        <f>B1447+20</f>
        <v>322</v>
      </c>
      <c r="D1448" s="12">
        <f>C1448+1</f>
        <v>323</v>
      </c>
    </row>
    <row r="1449" spans="1:4" x14ac:dyDescent="0.25">
      <c r="A1449" t="s">
        <v>75</v>
      </c>
      <c r="B1449" s="12">
        <f>B1448</f>
        <v>303</v>
      </c>
      <c r="C1449" s="12">
        <f>B1449+1</f>
        <v>304</v>
      </c>
      <c r="D1449" s="12">
        <f>B1449+20</f>
        <v>323</v>
      </c>
    </row>
    <row r="1450" spans="1:4" x14ac:dyDescent="0.25">
      <c r="A1450" t="s">
        <v>75</v>
      </c>
      <c r="B1450" s="12">
        <f>B1449+1</f>
        <v>304</v>
      </c>
      <c r="C1450" s="12">
        <f>B1449+20</f>
        <v>323</v>
      </c>
      <c r="D1450" s="12">
        <f>C1450+1</f>
        <v>324</v>
      </c>
    </row>
    <row r="1451" spans="1:4" x14ac:dyDescent="0.25">
      <c r="A1451" t="s">
        <v>75</v>
      </c>
      <c r="B1451" s="12">
        <f>B1450</f>
        <v>304</v>
      </c>
      <c r="C1451" s="12">
        <f>B1451+1</f>
        <v>305</v>
      </c>
      <c r="D1451" s="12">
        <f>B1451+20</f>
        <v>324</v>
      </c>
    </row>
    <row r="1452" spans="1:4" x14ac:dyDescent="0.25">
      <c r="A1452" t="s">
        <v>75</v>
      </c>
      <c r="B1452" s="12">
        <f>B1451+1</f>
        <v>305</v>
      </c>
      <c r="C1452" s="12">
        <f>B1451+20</f>
        <v>324</v>
      </c>
      <c r="D1452" s="12">
        <f>C1452+1</f>
        <v>325</v>
      </c>
    </row>
    <row r="1453" spans="1:4" x14ac:dyDescent="0.25">
      <c r="A1453" t="s">
        <v>75</v>
      </c>
      <c r="B1453" s="12">
        <f>B1452</f>
        <v>305</v>
      </c>
      <c r="C1453" s="12">
        <f>B1453+1</f>
        <v>306</v>
      </c>
      <c r="D1453" s="12">
        <f>B1453+20</f>
        <v>325</v>
      </c>
    </row>
    <row r="1454" spans="1:4" x14ac:dyDescent="0.25">
      <c r="A1454" t="s">
        <v>75</v>
      </c>
      <c r="B1454" s="12">
        <f>B1453+1</f>
        <v>306</v>
      </c>
      <c r="C1454" s="12">
        <f>B1453+20</f>
        <v>325</v>
      </c>
      <c r="D1454" s="12">
        <f>C1454+1</f>
        <v>326</v>
      </c>
    </row>
    <row r="1455" spans="1:4" x14ac:dyDescent="0.25">
      <c r="A1455" t="s">
        <v>75</v>
      </c>
      <c r="B1455" s="12">
        <f>B1454</f>
        <v>306</v>
      </c>
      <c r="C1455" s="12">
        <f>B1455+1</f>
        <v>307</v>
      </c>
      <c r="D1455" s="12">
        <f>B1455+20</f>
        <v>326</v>
      </c>
    </row>
    <row r="1456" spans="1:4" x14ac:dyDescent="0.25">
      <c r="A1456" t="s">
        <v>75</v>
      </c>
      <c r="B1456" s="12">
        <f>B1455+1</f>
        <v>307</v>
      </c>
      <c r="C1456" s="12">
        <f>B1455+20</f>
        <v>326</v>
      </c>
      <c r="D1456" s="12">
        <f>C1456+1</f>
        <v>327</v>
      </c>
    </row>
    <row r="1457" spans="1:4" x14ac:dyDescent="0.25">
      <c r="A1457" t="s">
        <v>75</v>
      </c>
      <c r="B1457" s="12">
        <f>B1456</f>
        <v>307</v>
      </c>
      <c r="C1457" s="12">
        <f>B1457+1</f>
        <v>308</v>
      </c>
      <c r="D1457" s="12">
        <f>B1457+20</f>
        <v>327</v>
      </c>
    </row>
    <row r="1458" spans="1:4" x14ac:dyDescent="0.25">
      <c r="A1458" t="s">
        <v>75</v>
      </c>
      <c r="B1458" s="12">
        <f>B1457+1</f>
        <v>308</v>
      </c>
      <c r="C1458" s="12">
        <f>B1457+20</f>
        <v>327</v>
      </c>
      <c r="D1458" s="12">
        <f>C1458+1</f>
        <v>328</v>
      </c>
    </row>
    <row r="1459" spans="1:4" x14ac:dyDescent="0.25">
      <c r="A1459" t="s">
        <v>75</v>
      </c>
      <c r="B1459" s="12">
        <f>B1458</f>
        <v>308</v>
      </c>
      <c r="C1459" s="12">
        <f>B1459+1</f>
        <v>309</v>
      </c>
      <c r="D1459" s="12">
        <f>B1459+20</f>
        <v>328</v>
      </c>
    </row>
    <row r="1460" spans="1:4" x14ac:dyDescent="0.25">
      <c r="A1460" t="s">
        <v>75</v>
      </c>
      <c r="B1460" s="12">
        <f>B1459+1</f>
        <v>309</v>
      </c>
      <c r="C1460" s="12">
        <f>B1459+20</f>
        <v>328</v>
      </c>
      <c r="D1460" s="12">
        <f>C1460+1</f>
        <v>329</v>
      </c>
    </row>
    <row r="1461" spans="1:4" x14ac:dyDescent="0.25">
      <c r="A1461" t="s">
        <v>75</v>
      </c>
      <c r="B1461" s="12">
        <f>B1460</f>
        <v>309</v>
      </c>
      <c r="C1461" s="12">
        <f>B1461+1</f>
        <v>310</v>
      </c>
      <c r="D1461" s="12">
        <f>B1461+20</f>
        <v>329</v>
      </c>
    </row>
    <row r="1462" spans="1:4" x14ac:dyDescent="0.25">
      <c r="A1462" t="s">
        <v>75</v>
      </c>
      <c r="B1462" s="12">
        <f>B1461+1</f>
        <v>310</v>
      </c>
      <c r="C1462" s="12">
        <f>B1461+20</f>
        <v>329</v>
      </c>
      <c r="D1462" s="12">
        <f>C1462+1</f>
        <v>330</v>
      </c>
    </row>
    <row r="1463" spans="1:4" x14ac:dyDescent="0.25">
      <c r="A1463" t="s">
        <v>75</v>
      </c>
      <c r="B1463" s="12">
        <f>B1462</f>
        <v>310</v>
      </c>
      <c r="C1463" s="12">
        <f>B1463+1</f>
        <v>311</v>
      </c>
      <c r="D1463" s="12">
        <f>B1463+20</f>
        <v>330</v>
      </c>
    </row>
    <row r="1464" spans="1:4" x14ac:dyDescent="0.25">
      <c r="A1464" t="s">
        <v>75</v>
      </c>
      <c r="B1464" s="12">
        <f>B1463+1</f>
        <v>311</v>
      </c>
      <c r="C1464" s="12">
        <f>B1463+20</f>
        <v>330</v>
      </c>
      <c r="D1464" s="12">
        <f>C1464+1</f>
        <v>331</v>
      </c>
    </row>
    <row r="1465" spans="1:4" x14ac:dyDescent="0.25">
      <c r="A1465" t="s">
        <v>75</v>
      </c>
      <c r="B1465" s="12">
        <f>B1464</f>
        <v>311</v>
      </c>
      <c r="C1465" s="12">
        <f>B1465+1</f>
        <v>312</v>
      </c>
      <c r="D1465" s="12">
        <f>B1465+20</f>
        <v>331</v>
      </c>
    </row>
    <row r="1466" spans="1:4" x14ac:dyDescent="0.25">
      <c r="A1466" t="s">
        <v>75</v>
      </c>
      <c r="B1466" s="12">
        <f>B1465+1</f>
        <v>312</v>
      </c>
      <c r="C1466" s="12">
        <f>B1465+20</f>
        <v>331</v>
      </c>
      <c r="D1466" s="12">
        <f>C1466+1</f>
        <v>332</v>
      </c>
    </row>
    <row r="1467" spans="1:4" x14ac:dyDescent="0.25">
      <c r="A1467" t="s">
        <v>75</v>
      </c>
      <c r="B1467" s="12">
        <f>B1466</f>
        <v>312</v>
      </c>
      <c r="C1467" s="12">
        <f>B1467+1</f>
        <v>313</v>
      </c>
      <c r="D1467" s="12">
        <f>B1467+20</f>
        <v>332</v>
      </c>
    </row>
    <row r="1468" spans="1:4" x14ac:dyDescent="0.25">
      <c r="A1468" t="s">
        <v>75</v>
      </c>
      <c r="B1468" s="12">
        <f>B1467+1</f>
        <v>313</v>
      </c>
      <c r="C1468" s="12">
        <f>B1467+20</f>
        <v>332</v>
      </c>
      <c r="D1468" s="12">
        <f>C1468+1</f>
        <v>333</v>
      </c>
    </row>
    <row r="1469" spans="1:4" x14ac:dyDescent="0.25">
      <c r="A1469" t="s">
        <v>75</v>
      </c>
      <c r="B1469" s="12">
        <f>B1468</f>
        <v>313</v>
      </c>
      <c r="C1469" s="12">
        <f>B1469+1</f>
        <v>314</v>
      </c>
      <c r="D1469" s="12">
        <f>B1469+20</f>
        <v>333</v>
      </c>
    </row>
    <row r="1470" spans="1:4" x14ac:dyDescent="0.25">
      <c r="A1470" t="s">
        <v>75</v>
      </c>
      <c r="B1470" s="12">
        <f>B1469+1</f>
        <v>314</v>
      </c>
      <c r="C1470" s="12">
        <f>B1469+20</f>
        <v>333</v>
      </c>
      <c r="D1470" s="12">
        <f>C1470+1</f>
        <v>334</v>
      </c>
    </row>
    <row r="1471" spans="1:4" x14ac:dyDescent="0.25">
      <c r="A1471" t="s">
        <v>75</v>
      </c>
      <c r="B1471" s="12">
        <f>B1470</f>
        <v>314</v>
      </c>
      <c r="C1471" s="12">
        <f>B1471+1</f>
        <v>315</v>
      </c>
      <c r="D1471" s="12">
        <f>B1471+20</f>
        <v>334</v>
      </c>
    </row>
    <row r="1472" spans="1:4" x14ac:dyDescent="0.25">
      <c r="A1472" t="s">
        <v>75</v>
      </c>
      <c r="B1472" s="12">
        <f>B1471+1</f>
        <v>315</v>
      </c>
      <c r="C1472" s="12">
        <f>B1471+20</f>
        <v>334</v>
      </c>
      <c r="D1472" s="12">
        <f>C1472+1</f>
        <v>335</v>
      </c>
    </row>
    <row r="1473" spans="1:4" x14ac:dyDescent="0.25">
      <c r="A1473" t="s">
        <v>75</v>
      </c>
      <c r="B1473" s="12">
        <f>B1472</f>
        <v>315</v>
      </c>
      <c r="C1473" s="12">
        <f>B1473+1</f>
        <v>316</v>
      </c>
      <c r="D1473" s="12">
        <f>B1473+20</f>
        <v>335</v>
      </c>
    </row>
    <row r="1474" spans="1:4" x14ac:dyDescent="0.25">
      <c r="A1474" t="s">
        <v>75</v>
      </c>
      <c r="B1474" s="12">
        <f>B1473+1</f>
        <v>316</v>
      </c>
      <c r="C1474" s="12">
        <f>B1473+20</f>
        <v>335</v>
      </c>
      <c r="D1474" s="12">
        <f>C1474+1</f>
        <v>336</v>
      </c>
    </row>
    <row r="1475" spans="1:4" x14ac:dyDescent="0.25">
      <c r="A1475" t="s">
        <v>75</v>
      </c>
      <c r="B1475" s="12">
        <f>B1474</f>
        <v>316</v>
      </c>
      <c r="C1475" s="12">
        <f>B1475+1</f>
        <v>317</v>
      </c>
      <c r="D1475" s="12">
        <f>B1475+20</f>
        <v>336</v>
      </c>
    </row>
    <row r="1476" spans="1:4" x14ac:dyDescent="0.25">
      <c r="A1476" t="s">
        <v>75</v>
      </c>
      <c r="B1476" s="12">
        <f>B1475+1</f>
        <v>317</v>
      </c>
      <c r="C1476" s="12">
        <f>B1475+20</f>
        <v>336</v>
      </c>
      <c r="D1476" s="12">
        <f>C1476+1</f>
        <v>337</v>
      </c>
    </row>
    <row r="1477" spans="1:4" x14ac:dyDescent="0.25">
      <c r="A1477" t="s">
        <v>75</v>
      </c>
      <c r="B1477" s="12">
        <f>B1476</f>
        <v>317</v>
      </c>
      <c r="C1477" s="12">
        <f>B1477+1</f>
        <v>318</v>
      </c>
      <c r="D1477" s="12">
        <f>B1477+20</f>
        <v>337</v>
      </c>
    </row>
    <row r="1478" spans="1:4" x14ac:dyDescent="0.25">
      <c r="A1478" t="s">
        <v>75</v>
      </c>
      <c r="B1478" s="12">
        <f>B1477+1</f>
        <v>318</v>
      </c>
      <c r="C1478" s="12">
        <f>B1477+20</f>
        <v>337</v>
      </c>
      <c r="D1478" s="12">
        <f>C1478+1</f>
        <v>338</v>
      </c>
    </row>
    <row r="1479" spans="1:4" x14ac:dyDescent="0.25">
      <c r="A1479" t="s">
        <v>75</v>
      </c>
      <c r="B1479" s="12">
        <f>B1478</f>
        <v>318</v>
      </c>
      <c r="C1479" s="12">
        <f>B1479+1</f>
        <v>319</v>
      </c>
      <c r="D1479" s="12">
        <f>B1479+20</f>
        <v>338</v>
      </c>
    </row>
    <row r="1480" spans="1:4" x14ac:dyDescent="0.25">
      <c r="A1480" t="s">
        <v>75</v>
      </c>
      <c r="B1480" s="12">
        <f>B1479+1</f>
        <v>319</v>
      </c>
      <c r="C1480" s="12">
        <f>B1479+20</f>
        <v>338</v>
      </c>
      <c r="D1480" s="12">
        <f>C1480+1</f>
        <v>339</v>
      </c>
    </row>
    <row r="1481" spans="1:4" x14ac:dyDescent="0.25">
      <c r="A1481" t="s">
        <v>75</v>
      </c>
      <c r="B1481" s="12">
        <f>B1480</f>
        <v>319</v>
      </c>
      <c r="C1481" s="12">
        <f>B1481+1</f>
        <v>320</v>
      </c>
      <c r="D1481" s="12">
        <f>B1481+20</f>
        <v>339</v>
      </c>
    </row>
    <row r="1482" spans="1:4" x14ac:dyDescent="0.25">
      <c r="A1482" t="s">
        <v>75</v>
      </c>
      <c r="B1482" s="12">
        <f>B1481+1</f>
        <v>320</v>
      </c>
      <c r="C1482" s="12">
        <f>B1481+20</f>
        <v>339</v>
      </c>
      <c r="D1482" s="12">
        <f>C1482+1</f>
        <v>340</v>
      </c>
    </row>
    <row r="1483" spans="1:4" x14ac:dyDescent="0.25">
      <c r="A1483" t="s">
        <v>75</v>
      </c>
      <c r="B1483" s="12">
        <f>B1482</f>
        <v>320</v>
      </c>
      <c r="C1483" s="12">
        <f>B1483+1</f>
        <v>321</v>
      </c>
      <c r="D1483" s="12">
        <f>B1483+20</f>
        <v>340</v>
      </c>
    </row>
    <row r="1484" spans="1:4" x14ac:dyDescent="0.25">
      <c r="A1484" t="s">
        <v>75</v>
      </c>
      <c r="B1484" s="12">
        <f>B1483+1</f>
        <v>321</v>
      </c>
      <c r="C1484" s="12">
        <f>B1483+20</f>
        <v>340</v>
      </c>
      <c r="D1484" s="12">
        <f>C1484+1</f>
        <v>341</v>
      </c>
    </row>
    <row r="1485" spans="1:4" x14ac:dyDescent="0.25">
      <c r="A1485" t="s">
        <v>75</v>
      </c>
      <c r="B1485" s="12">
        <f>B1484</f>
        <v>321</v>
      </c>
      <c r="C1485" s="12">
        <f>B1485+1</f>
        <v>322</v>
      </c>
      <c r="D1485" s="12">
        <f>B1485+20</f>
        <v>341</v>
      </c>
    </row>
    <row r="1486" spans="1:4" x14ac:dyDescent="0.25">
      <c r="A1486" t="s">
        <v>75</v>
      </c>
      <c r="B1486" s="12">
        <f>B1485+1</f>
        <v>322</v>
      </c>
      <c r="C1486" s="12">
        <f>B1485+20</f>
        <v>341</v>
      </c>
      <c r="D1486" s="12">
        <f>C1486+1</f>
        <v>342</v>
      </c>
    </row>
    <row r="1487" spans="1:4" x14ac:dyDescent="0.25">
      <c r="A1487" t="s">
        <v>75</v>
      </c>
      <c r="B1487" s="12">
        <f>B1486</f>
        <v>322</v>
      </c>
      <c r="C1487" s="12">
        <f>B1487+1</f>
        <v>323</v>
      </c>
      <c r="D1487" s="12">
        <f>B1487+20</f>
        <v>342</v>
      </c>
    </row>
    <row r="1488" spans="1:4" x14ac:dyDescent="0.25">
      <c r="A1488" t="s">
        <v>75</v>
      </c>
      <c r="B1488" s="12">
        <f>B1487+1</f>
        <v>323</v>
      </c>
      <c r="C1488" s="12">
        <f>B1487+20</f>
        <v>342</v>
      </c>
      <c r="D1488" s="12">
        <f>C1488+1</f>
        <v>343</v>
      </c>
    </row>
    <row r="1489" spans="1:4" x14ac:dyDescent="0.25">
      <c r="A1489" t="s">
        <v>75</v>
      </c>
      <c r="B1489" s="12">
        <f>B1488</f>
        <v>323</v>
      </c>
      <c r="C1489" s="12">
        <f>B1489+1</f>
        <v>324</v>
      </c>
      <c r="D1489" s="12">
        <f>B1489+20</f>
        <v>343</v>
      </c>
    </row>
    <row r="1490" spans="1:4" x14ac:dyDescent="0.25">
      <c r="A1490" t="s">
        <v>75</v>
      </c>
      <c r="B1490" s="12">
        <f>B1489+1</f>
        <v>324</v>
      </c>
      <c r="C1490" s="12">
        <f>B1489+20</f>
        <v>343</v>
      </c>
      <c r="D1490" s="12">
        <f>C1490+1</f>
        <v>344</v>
      </c>
    </row>
    <row r="1491" spans="1:4" x14ac:dyDescent="0.25">
      <c r="A1491" t="s">
        <v>75</v>
      </c>
      <c r="B1491" s="12">
        <f>B1490</f>
        <v>324</v>
      </c>
      <c r="C1491" s="12">
        <f>B1491+1</f>
        <v>325</v>
      </c>
      <c r="D1491" s="12">
        <f>B1491+20</f>
        <v>344</v>
      </c>
    </row>
    <row r="1492" spans="1:4" x14ac:dyDescent="0.25">
      <c r="A1492" t="s">
        <v>75</v>
      </c>
      <c r="B1492" s="12">
        <f>B1491+1</f>
        <v>325</v>
      </c>
      <c r="C1492" s="12">
        <f>B1491+20</f>
        <v>344</v>
      </c>
      <c r="D1492" s="12">
        <f>C1492+1</f>
        <v>345</v>
      </c>
    </row>
    <row r="1493" spans="1:4" x14ac:dyDescent="0.25">
      <c r="A1493" t="s">
        <v>75</v>
      </c>
      <c r="B1493" s="12">
        <f>B1492</f>
        <v>325</v>
      </c>
      <c r="C1493" s="12">
        <f>B1493+1</f>
        <v>326</v>
      </c>
      <c r="D1493" s="12">
        <f>B1493+20</f>
        <v>345</v>
      </c>
    </row>
    <row r="1494" spans="1:4" x14ac:dyDescent="0.25">
      <c r="A1494" t="s">
        <v>75</v>
      </c>
      <c r="B1494" s="12">
        <f>B1493+1</f>
        <v>326</v>
      </c>
      <c r="C1494" s="12">
        <f>B1493+20</f>
        <v>345</v>
      </c>
      <c r="D1494" s="12">
        <f>C1494+1</f>
        <v>346</v>
      </c>
    </row>
    <row r="1495" spans="1:4" x14ac:dyDescent="0.25">
      <c r="A1495" t="s">
        <v>75</v>
      </c>
      <c r="B1495" s="12">
        <f>B1494</f>
        <v>326</v>
      </c>
      <c r="C1495" s="12">
        <f>B1495+1</f>
        <v>327</v>
      </c>
      <c r="D1495" s="12">
        <f>B1495+20</f>
        <v>346</v>
      </c>
    </row>
    <row r="1496" spans="1:4" x14ac:dyDescent="0.25">
      <c r="A1496" t="s">
        <v>75</v>
      </c>
      <c r="B1496" s="12">
        <f>B1495+1</f>
        <v>327</v>
      </c>
      <c r="C1496" s="12">
        <f>B1495+20</f>
        <v>346</v>
      </c>
      <c r="D1496" s="12">
        <f>C1496+1</f>
        <v>347</v>
      </c>
    </row>
    <row r="1497" spans="1:4" x14ac:dyDescent="0.25">
      <c r="A1497" t="s">
        <v>75</v>
      </c>
      <c r="B1497" s="12">
        <f>B1496</f>
        <v>327</v>
      </c>
      <c r="C1497" s="12">
        <f>B1497+1</f>
        <v>328</v>
      </c>
      <c r="D1497" s="12">
        <f>B1497+20</f>
        <v>347</v>
      </c>
    </row>
    <row r="1498" spans="1:4" x14ac:dyDescent="0.25">
      <c r="A1498" t="s">
        <v>75</v>
      </c>
      <c r="B1498" s="12">
        <f>B1497+1</f>
        <v>328</v>
      </c>
      <c r="C1498" s="12">
        <f>B1497+20</f>
        <v>347</v>
      </c>
      <c r="D1498" s="12">
        <f>C1498+1</f>
        <v>348</v>
      </c>
    </row>
    <row r="1499" spans="1:4" x14ac:dyDescent="0.25">
      <c r="A1499" t="s">
        <v>75</v>
      </c>
      <c r="B1499" s="12">
        <f>B1498</f>
        <v>328</v>
      </c>
      <c r="C1499" s="12">
        <f>B1499+1</f>
        <v>329</v>
      </c>
      <c r="D1499" s="12">
        <f>B1499+20</f>
        <v>348</v>
      </c>
    </row>
    <row r="1500" spans="1:4" x14ac:dyDescent="0.25">
      <c r="A1500" t="s">
        <v>75</v>
      </c>
      <c r="B1500" s="12">
        <f>B1499+1</f>
        <v>329</v>
      </c>
      <c r="C1500" s="12">
        <f>B1499+20</f>
        <v>348</v>
      </c>
      <c r="D1500" s="12">
        <f>C1500+1</f>
        <v>349</v>
      </c>
    </row>
    <row r="1501" spans="1:4" x14ac:dyDescent="0.25">
      <c r="A1501" t="s">
        <v>75</v>
      </c>
      <c r="B1501" s="12">
        <f>B1500</f>
        <v>329</v>
      </c>
      <c r="C1501" s="12">
        <f>B1501+1</f>
        <v>330</v>
      </c>
      <c r="D1501" s="12">
        <f>B1501+20</f>
        <v>349</v>
      </c>
    </row>
    <row r="1502" spans="1:4" x14ac:dyDescent="0.25">
      <c r="A1502" t="s">
        <v>75</v>
      </c>
      <c r="B1502" s="12">
        <f>B1501+1</f>
        <v>330</v>
      </c>
      <c r="C1502" s="12">
        <f>B1501+20</f>
        <v>349</v>
      </c>
      <c r="D1502" s="12">
        <f>C1502+1</f>
        <v>350</v>
      </c>
    </row>
    <row r="1503" spans="1:4" x14ac:dyDescent="0.25">
      <c r="A1503" t="s">
        <v>75</v>
      </c>
      <c r="B1503" s="12">
        <f>B1502</f>
        <v>330</v>
      </c>
      <c r="C1503" s="12">
        <f>B1503+1</f>
        <v>331</v>
      </c>
      <c r="D1503" s="12">
        <f>B1503+20</f>
        <v>350</v>
      </c>
    </row>
    <row r="1504" spans="1:4" x14ac:dyDescent="0.25">
      <c r="A1504" t="s">
        <v>75</v>
      </c>
      <c r="B1504" s="12">
        <f>B1503+1</f>
        <v>331</v>
      </c>
      <c r="C1504" s="12">
        <f>B1503+20</f>
        <v>350</v>
      </c>
      <c r="D1504" s="12">
        <f>C1504+1</f>
        <v>351</v>
      </c>
    </row>
    <row r="1505" spans="1:4" x14ac:dyDescent="0.25">
      <c r="A1505" t="s">
        <v>75</v>
      </c>
      <c r="B1505" s="12">
        <f>B1504</f>
        <v>331</v>
      </c>
      <c r="C1505" s="12">
        <f>B1505+1</f>
        <v>332</v>
      </c>
      <c r="D1505" s="12">
        <f>B1505+20</f>
        <v>351</v>
      </c>
    </row>
    <row r="1506" spans="1:4" x14ac:dyDescent="0.25">
      <c r="A1506" t="s">
        <v>75</v>
      </c>
      <c r="B1506" s="12">
        <f>B1505+1</f>
        <v>332</v>
      </c>
      <c r="C1506" s="12">
        <f>B1505+20</f>
        <v>351</v>
      </c>
      <c r="D1506" s="12">
        <f>C1506+1</f>
        <v>352</v>
      </c>
    </row>
    <row r="1507" spans="1:4" x14ac:dyDescent="0.25">
      <c r="A1507" t="s">
        <v>75</v>
      </c>
      <c r="B1507" s="12">
        <f>B1506</f>
        <v>332</v>
      </c>
      <c r="C1507" s="12">
        <f>B1507+1</f>
        <v>333</v>
      </c>
      <c r="D1507" s="12">
        <f>B1507+20</f>
        <v>352</v>
      </c>
    </row>
    <row r="1508" spans="1:4" x14ac:dyDescent="0.25">
      <c r="A1508" t="s">
        <v>75</v>
      </c>
      <c r="B1508" s="12">
        <f>B1507+1</f>
        <v>333</v>
      </c>
      <c r="C1508" s="12">
        <f>B1507+20</f>
        <v>352</v>
      </c>
      <c r="D1508" s="12">
        <f>C1508+1</f>
        <v>353</v>
      </c>
    </row>
    <row r="1509" spans="1:4" x14ac:dyDescent="0.25">
      <c r="A1509" t="s">
        <v>75</v>
      </c>
      <c r="B1509" s="12">
        <f>B1508</f>
        <v>333</v>
      </c>
      <c r="C1509" s="12">
        <f>B1509+1</f>
        <v>334</v>
      </c>
      <c r="D1509" s="12">
        <f>B1509+20</f>
        <v>353</v>
      </c>
    </row>
    <row r="1510" spans="1:4" x14ac:dyDescent="0.25">
      <c r="A1510" t="s">
        <v>75</v>
      </c>
      <c r="B1510" s="12">
        <f>B1509+1</f>
        <v>334</v>
      </c>
      <c r="C1510" s="12">
        <f>B1509+20</f>
        <v>353</v>
      </c>
      <c r="D1510" s="12">
        <f>C1510+1</f>
        <v>354</v>
      </c>
    </row>
    <row r="1511" spans="1:4" x14ac:dyDescent="0.25">
      <c r="A1511" t="s">
        <v>75</v>
      </c>
      <c r="B1511" s="12">
        <f>B1510</f>
        <v>334</v>
      </c>
      <c r="C1511" s="12">
        <f>B1511+1</f>
        <v>335</v>
      </c>
      <c r="D1511" s="12">
        <f>B1511+20</f>
        <v>354</v>
      </c>
    </row>
    <row r="1512" spans="1:4" x14ac:dyDescent="0.25">
      <c r="A1512" t="s">
        <v>75</v>
      </c>
      <c r="B1512" s="12">
        <f>B1511+1</f>
        <v>335</v>
      </c>
      <c r="C1512" s="12">
        <f>B1511+20</f>
        <v>354</v>
      </c>
      <c r="D1512" s="12">
        <f>C1512+1</f>
        <v>355</v>
      </c>
    </row>
    <row r="1513" spans="1:4" x14ac:dyDescent="0.25">
      <c r="A1513" t="s">
        <v>75</v>
      </c>
      <c r="B1513" s="12">
        <f>B1512</f>
        <v>335</v>
      </c>
      <c r="C1513" s="12">
        <f>B1513+1</f>
        <v>336</v>
      </c>
      <c r="D1513" s="12">
        <f>B1513+20</f>
        <v>355</v>
      </c>
    </row>
    <row r="1514" spans="1:4" x14ac:dyDescent="0.25">
      <c r="A1514" t="s">
        <v>75</v>
      </c>
      <c r="B1514" s="12">
        <f>B1513+1</f>
        <v>336</v>
      </c>
      <c r="C1514" s="12">
        <f>B1513+20</f>
        <v>355</v>
      </c>
      <c r="D1514" s="12">
        <f>C1514+1</f>
        <v>356</v>
      </c>
    </row>
    <row r="1515" spans="1:4" x14ac:dyDescent="0.25">
      <c r="A1515" t="s">
        <v>75</v>
      </c>
      <c r="B1515" s="12">
        <f>B1514</f>
        <v>336</v>
      </c>
      <c r="C1515" s="12">
        <f>B1515+1</f>
        <v>337</v>
      </c>
      <c r="D1515" s="12">
        <f>B1515+20</f>
        <v>356</v>
      </c>
    </row>
    <row r="1516" spans="1:4" x14ac:dyDescent="0.25">
      <c r="A1516" t="s">
        <v>75</v>
      </c>
      <c r="B1516" s="12">
        <f>B1515+1</f>
        <v>337</v>
      </c>
      <c r="C1516" s="12">
        <f>B1515+20</f>
        <v>356</v>
      </c>
      <c r="D1516" s="12">
        <f>C1516+1</f>
        <v>357</v>
      </c>
    </row>
    <row r="1517" spans="1:4" x14ac:dyDescent="0.25">
      <c r="A1517" t="s">
        <v>75</v>
      </c>
      <c r="B1517" s="12">
        <f>B1516</f>
        <v>337</v>
      </c>
      <c r="C1517" s="12">
        <f>B1517+1</f>
        <v>338</v>
      </c>
      <c r="D1517" s="12">
        <f>B1517+20</f>
        <v>357</v>
      </c>
    </row>
    <row r="1518" spans="1:4" x14ac:dyDescent="0.25">
      <c r="A1518" t="s">
        <v>75</v>
      </c>
      <c r="B1518" s="12">
        <f>B1517+1</f>
        <v>338</v>
      </c>
      <c r="C1518" s="12">
        <f>B1517+20</f>
        <v>357</v>
      </c>
      <c r="D1518" s="12">
        <f>C1518+1</f>
        <v>358</v>
      </c>
    </row>
    <row r="1519" spans="1:4" x14ac:dyDescent="0.25">
      <c r="A1519" t="s">
        <v>75</v>
      </c>
      <c r="B1519" s="12">
        <f>B1518</f>
        <v>338</v>
      </c>
      <c r="C1519" s="12">
        <f>B1519+1</f>
        <v>339</v>
      </c>
      <c r="D1519" s="12">
        <f>B1519+20</f>
        <v>358</v>
      </c>
    </row>
    <row r="1520" spans="1:4" x14ac:dyDescent="0.25">
      <c r="A1520" t="s">
        <v>75</v>
      </c>
      <c r="B1520" s="12">
        <f>B1519+1</f>
        <v>339</v>
      </c>
      <c r="C1520" s="12">
        <f>B1519+20</f>
        <v>358</v>
      </c>
      <c r="D1520" s="12">
        <f>C1520+1</f>
        <v>359</v>
      </c>
    </row>
    <row r="1521" spans="1:4" x14ac:dyDescent="0.25">
      <c r="A1521" t="s">
        <v>75</v>
      </c>
      <c r="B1521" s="12">
        <f>B1520</f>
        <v>339</v>
      </c>
      <c r="C1521" s="12">
        <f>B1521+1</f>
        <v>340</v>
      </c>
      <c r="D1521" s="12">
        <f>B1521+20</f>
        <v>359</v>
      </c>
    </row>
    <row r="1522" spans="1:4" x14ac:dyDescent="0.25">
      <c r="A1522" t="s">
        <v>75</v>
      </c>
      <c r="B1522" s="12">
        <f>B1521+1</f>
        <v>340</v>
      </c>
      <c r="C1522" s="12">
        <f>B1521+20</f>
        <v>359</v>
      </c>
      <c r="D1522" s="12">
        <f>C1522+1</f>
        <v>360</v>
      </c>
    </row>
    <row r="1523" spans="1:4" x14ac:dyDescent="0.25">
      <c r="A1523" t="s">
        <v>75</v>
      </c>
      <c r="B1523" s="12">
        <f>B1522</f>
        <v>340</v>
      </c>
      <c r="C1523" s="12">
        <f>B1523+1</f>
        <v>341</v>
      </c>
      <c r="D1523" s="12">
        <f>B1523+20</f>
        <v>360</v>
      </c>
    </row>
    <row r="1524" spans="1:4" x14ac:dyDescent="0.25">
      <c r="A1524" t="s">
        <v>75</v>
      </c>
      <c r="B1524" s="12">
        <f>B1523+1</f>
        <v>341</v>
      </c>
      <c r="C1524" s="12">
        <f>B1523+20</f>
        <v>360</v>
      </c>
      <c r="D1524" s="12">
        <f>C1524+1</f>
        <v>361</v>
      </c>
    </row>
    <row r="1525" spans="1:4" x14ac:dyDescent="0.25">
      <c r="A1525" t="s">
        <v>75</v>
      </c>
      <c r="B1525" s="12">
        <f>B1524</f>
        <v>341</v>
      </c>
      <c r="C1525" s="12">
        <f>B1525+1</f>
        <v>342</v>
      </c>
      <c r="D1525" s="12">
        <f>B1525+20</f>
        <v>361</v>
      </c>
    </row>
    <row r="1526" spans="1:4" x14ac:dyDescent="0.25">
      <c r="A1526" t="s">
        <v>75</v>
      </c>
      <c r="B1526" s="12">
        <f>B1525+1</f>
        <v>342</v>
      </c>
      <c r="C1526" s="12">
        <f>B1525+20</f>
        <v>361</v>
      </c>
      <c r="D1526" s="12">
        <f>C1526+1</f>
        <v>362</v>
      </c>
    </row>
    <row r="1527" spans="1:4" x14ac:dyDescent="0.25">
      <c r="A1527" t="s">
        <v>75</v>
      </c>
      <c r="B1527" s="12">
        <f>B1526</f>
        <v>342</v>
      </c>
      <c r="C1527" s="12">
        <f>B1527+1</f>
        <v>343</v>
      </c>
      <c r="D1527" s="12">
        <f>B1527+20</f>
        <v>362</v>
      </c>
    </row>
    <row r="1528" spans="1:4" x14ac:dyDescent="0.25">
      <c r="A1528" t="s">
        <v>75</v>
      </c>
      <c r="B1528" s="12">
        <f>B1527+1</f>
        <v>343</v>
      </c>
      <c r="C1528" s="12">
        <f>B1527+20</f>
        <v>362</v>
      </c>
      <c r="D1528" s="12">
        <f>C1528+1</f>
        <v>363</v>
      </c>
    </row>
    <row r="1529" spans="1:4" x14ac:dyDescent="0.25">
      <c r="A1529" t="s">
        <v>75</v>
      </c>
      <c r="B1529" s="12">
        <f>B1528</f>
        <v>343</v>
      </c>
      <c r="C1529" s="12">
        <f>B1529+1</f>
        <v>344</v>
      </c>
      <c r="D1529" s="12">
        <f>B1529+20</f>
        <v>363</v>
      </c>
    </row>
    <row r="1530" spans="1:4" x14ac:dyDescent="0.25">
      <c r="A1530" t="s">
        <v>75</v>
      </c>
      <c r="B1530" s="12">
        <f>B1529+1</f>
        <v>344</v>
      </c>
      <c r="C1530" s="12">
        <f>B1529+20</f>
        <v>363</v>
      </c>
      <c r="D1530" s="12">
        <f>C1530+1</f>
        <v>364</v>
      </c>
    </row>
    <row r="1531" spans="1:4" x14ac:dyDescent="0.25">
      <c r="A1531" t="s">
        <v>75</v>
      </c>
      <c r="B1531" s="12">
        <f>B1530</f>
        <v>344</v>
      </c>
      <c r="C1531" s="12">
        <f>B1531+1</f>
        <v>345</v>
      </c>
      <c r="D1531" s="12">
        <f>B1531+20</f>
        <v>364</v>
      </c>
    </row>
    <row r="1532" spans="1:4" x14ac:dyDescent="0.25">
      <c r="A1532" t="s">
        <v>75</v>
      </c>
      <c r="B1532" s="12">
        <f>B1531+1</f>
        <v>345</v>
      </c>
      <c r="C1532" s="12">
        <f>B1531+20</f>
        <v>364</v>
      </c>
      <c r="D1532" s="12">
        <f>C1532+1</f>
        <v>365</v>
      </c>
    </row>
    <row r="1533" spans="1:4" x14ac:dyDescent="0.25">
      <c r="A1533" t="s">
        <v>75</v>
      </c>
      <c r="B1533" s="12">
        <f>B1532</f>
        <v>345</v>
      </c>
      <c r="C1533" s="12">
        <f>B1533+1</f>
        <v>346</v>
      </c>
      <c r="D1533" s="12">
        <f>B1533+20</f>
        <v>365</v>
      </c>
    </row>
    <row r="1534" spans="1:4" x14ac:dyDescent="0.25">
      <c r="A1534" t="s">
        <v>75</v>
      </c>
      <c r="B1534" s="12">
        <f>B1533+1</f>
        <v>346</v>
      </c>
      <c r="C1534" s="12">
        <f>B1533+20</f>
        <v>365</v>
      </c>
      <c r="D1534" s="12">
        <f>C1534+1</f>
        <v>366</v>
      </c>
    </row>
    <row r="1535" spans="1:4" x14ac:dyDescent="0.25">
      <c r="A1535" t="s">
        <v>75</v>
      </c>
      <c r="B1535" s="12">
        <f>B1534</f>
        <v>346</v>
      </c>
      <c r="C1535" s="12">
        <f>B1535+1</f>
        <v>347</v>
      </c>
      <c r="D1535" s="12">
        <f>B1535+20</f>
        <v>366</v>
      </c>
    </row>
    <row r="1536" spans="1:4" x14ac:dyDescent="0.25">
      <c r="A1536" t="s">
        <v>75</v>
      </c>
      <c r="B1536" s="12">
        <f>B1535+1</f>
        <v>347</v>
      </c>
      <c r="C1536" s="12">
        <f>B1535+20</f>
        <v>366</v>
      </c>
      <c r="D1536" s="12">
        <f>C1536+1</f>
        <v>367</v>
      </c>
    </row>
    <row r="1537" spans="1:4" x14ac:dyDescent="0.25">
      <c r="A1537" t="s">
        <v>75</v>
      </c>
      <c r="B1537" s="12">
        <f>B1536</f>
        <v>347</v>
      </c>
      <c r="C1537" s="12">
        <f>B1537+1</f>
        <v>348</v>
      </c>
      <c r="D1537" s="12">
        <f>B1537+20</f>
        <v>367</v>
      </c>
    </row>
    <row r="1538" spans="1:4" x14ac:dyDescent="0.25">
      <c r="A1538" t="s">
        <v>75</v>
      </c>
      <c r="B1538" s="12">
        <f>B1537+1</f>
        <v>348</v>
      </c>
      <c r="C1538" s="12">
        <f>B1537+20</f>
        <v>367</v>
      </c>
      <c r="D1538" s="12">
        <f>C1538+1</f>
        <v>368</v>
      </c>
    </row>
    <row r="1539" spans="1:4" x14ac:dyDescent="0.25">
      <c r="A1539" t="s">
        <v>75</v>
      </c>
      <c r="B1539" s="12">
        <f>B1538</f>
        <v>348</v>
      </c>
      <c r="C1539" s="12">
        <f>B1539+1</f>
        <v>349</v>
      </c>
      <c r="D1539" s="12">
        <f>B1539+20</f>
        <v>368</v>
      </c>
    </row>
    <row r="1540" spans="1:4" x14ac:dyDescent="0.25">
      <c r="A1540" t="s">
        <v>75</v>
      </c>
      <c r="B1540" s="12">
        <f>B1539+1</f>
        <v>349</v>
      </c>
      <c r="C1540" s="12">
        <f>B1539+20</f>
        <v>368</v>
      </c>
      <c r="D1540" s="12">
        <f>C1540+1</f>
        <v>369</v>
      </c>
    </row>
    <row r="1541" spans="1:4" x14ac:dyDescent="0.25">
      <c r="A1541" t="s">
        <v>75</v>
      </c>
      <c r="B1541" s="12">
        <f>B1540</f>
        <v>349</v>
      </c>
      <c r="C1541" s="12">
        <f>B1541+1</f>
        <v>350</v>
      </c>
      <c r="D1541" s="12">
        <f>B1541+20</f>
        <v>369</v>
      </c>
    </row>
    <row r="1542" spans="1:4" x14ac:dyDescent="0.25">
      <c r="A1542" t="s">
        <v>75</v>
      </c>
      <c r="B1542" s="12">
        <f>B1541+1</f>
        <v>350</v>
      </c>
      <c r="C1542" s="12">
        <f>B1541+20</f>
        <v>369</v>
      </c>
      <c r="D1542" s="12">
        <f>C1542+1</f>
        <v>370</v>
      </c>
    </row>
    <row r="1543" spans="1:4" x14ac:dyDescent="0.25">
      <c r="A1543" t="s">
        <v>75</v>
      </c>
      <c r="B1543" s="12">
        <f>B1542</f>
        <v>350</v>
      </c>
      <c r="C1543" s="12">
        <f>B1543+1</f>
        <v>351</v>
      </c>
      <c r="D1543" s="12">
        <f>B1543+20</f>
        <v>370</v>
      </c>
    </row>
    <row r="1544" spans="1:4" x14ac:dyDescent="0.25">
      <c r="A1544" t="s">
        <v>75</v>
      </c>
      <c r="B1544" s="12">
        <f>B1543+1</f>
        <v>351</v>
      </c>
      <c r="C1544" s="12">
        <f>B1543+20</f>
        <v>370</v>
      </c>
      <c r="D1544" s="12">
        <f>C1544+1</f>
        <v>371</v>
      </c>
    </row>
    <row r="1545" spans="1:4" x14ac:dyDescent="0.25">
      <c r="A1545" t="s">
        <v>75</v>
      </c>
      <c r="B1545" s="12">
        <f>B1544</f>
        <v>351</v>
      </c>
      <c r="C1545" s="12">
        <f>B1545+1</f>
        <v>352</v>
      </c>
      <c r="D1545" s="12">
        <f>B1545+20</f>
        <v>371</v>
      </c>
    </row>
    <row r="1546" spans="1:4" x14ac:dyDescent="0.25">
      <c r="A1546" t="s">
        <v>75</v>
      </c>
      <c r="B1546" s="12">
        <f>B1545+1</f>
        <v>352</v>
      </c>
      <c r="C1546" s="12">
        <f>B1545+20</f>
        <v>371</v>
      </c>
      <c r="D1546" s="12">
        <f>C1546+1</f>
        <v>372</v>
      </c>
    </row>
    <row r="1547" spans="1:4" x14ac:dyDescent="0.25">
      <c r="A1547" t="s">
        <v>75</v>
      </c>
      <c r="B1547" s="12">
        <f>B1546</f>
        <v>352</v>
      </c>
      <c r="C1547" s="12">
        <f>B1547+1</f>
        <v>353</v>
      </c>
      <c r="D1547" s="12">
        <f>B1547+20</f>
        <v>372</v>
      </c>
    </row>
    <row r="1548" spans="1:4" x14ac:dyDescent="0.25">
      <c r="A1548" t="s">
        <v>75</v>
      </c>
      <c r="B1548" s="12">
        <f>B1547+1</f>
        <v>353</v>
      </c>
      <c r="C1548" s="12">
        <f>B1547+20</f>
        <v>372</v>
      </c>
      <c r="D1548" s="12">
        <f>C1548+1</f>
        <v>373</v>
      </c>
    </row>
    <row r="1549" spans="1:4" x14ac:dyDescent="0.25">
      <c r="A1549" t="s">
        <v>75</v>
      </c>
      <c r="B1549" s="12">
        <f>B1548</f>
        <v>353</v>
      </c>
      <c r="C1549" s="12">
        <f>B1549+1</f>
        <v>354</v>
      </c>
      <c r="D1549" s="12">
        <f>B1549+20</f>
        <v>373</v>
      </c>
    </row>
    <row r="1550" spans="1:4" x14ac:dyDescent="0.25">
      <c r="A1550" t="s">
        <v>75</v>
      </c>
      <c r="B1550" s="12">
        <f>B1549+1</f>
        <v>354</v>
      </c>
      <c r="C1550" s="12">
        <f>B1549+20</f>
        <v>373</v>
      </c>
      <c r="D1550" s="12">
        <f>C1550+1</f>
        <v>374</v>
      </c>
    </row>
    <row r="1551" spans="1:4" x14ac:dyDescent="0.25">
      <c r="A1551" t="s">
        <v>75</v>
      </c>
      <c r="B1551" s="12">
        <f>B1550</f>
        <v>354</v>
      </c>
      <c r="C1551" s="12">
        <f>B1551+1</f>
        <v>355</v>
      </c>
      <c r="D1551" s="12">
        <f>B1551+20</f>
        <v>374</v>
      </c>
    </row>
    <row r="1552" spans="1:4" x14ac:dyDescent="0.25">
      <c r="A1552" t="s">
        <v>75</v>
      </c>
      <c r="B1552" s="12">
        <f>B1551+1</f>
        <v>355</v>
      </c>
      <c r="C1552" s="12">
        <f>B1551+20</f>
        <v>374</v>
      </c>
      <c r="D1552" s="12">
        <f>C1552+1</f>
        <v>375</v>
      </c>
    </row>
    <row r="1553" spans="1:4" x14ac:dyDescent="0.25">
      <c r="A1553" t="s">
        <v>75</v>
      </c>
      <c r="B1553" s="12">
        <f>B1552</f>
        <v>355</v>
      </c>
      <c r="C1553" s="12">
        <f>B1553+1</f>
        <v>356</v>
      </c>
      <c r="D1553" s="12">
        <f>B1553+20</f>
        <v>375</v>
      </c>
    </row>
    <row r="1554" spans="1:4" x14ac:dyDescent="0.25">
      <c r="A1554" t="s">
        <v>75</v>
      </c>
      <c r="B1554" s="12">
        <f>B1553+1</f>
        <v>356</v>
      </c>
      <c r="C1554" s="12">
        <f>B1553+20</f>
        <v>375</v>
      </c>
      <c r="D1554" s="12">
        <f>C1554+1</f>
        <v>376</v>
      </c>
    </row>
    <row r="1555" spans="1:4" x14ac:dyDescent="0.25">
      <c r="A1555" t="s">
        <v>75</v>
      </c>
      <c r="B1555" s="12">
        <f>B1554</f>
        <v>356</v>
      </c>
      <c r="C1555" s="12">
        <f>B1555+1</f>
        <v>357</v>
      </c>
      <c r="D1555" s="12">
        <f>B1555+20</f>
        <v>376</v>
      </c>
    </row>
    <row r="1556" spans="1:4" x14ac:dyDescent="0.25">
      <c r="A1556" t="s">
        <v>75</v>
      </c>
      <c r="B1556" s="12">
        <f>B1555+1</f>
        <v>357</v>
      </c>
      <c r="C1556" s="12">
        <f>B1555+20</f>
        <v>376</v>
      </c>
      <c r="D1556" s="12">
        <f>C1556+1</f>
        <v>377</v>
      </c>
    </row>
    <row r="1557" spans="1:4" x14ac:dyDescent="0.25">
      <c r="A1557" t="s">
        <v>75</v>
      </c>
      <c r="B1557" s="12">
        <f>B1556</f>
        <v>357</v>
      </c>
      <c r="C1557" s="12">
        <f>B1557+1</f>
        <v>358</v>
      </c>
      <c r="D1557" s="12">
        <f>B1557+20</f>
        <v>377</v>
      </c>
    </row>
    <row r="1558" spans="1:4" x14ac:dyDescent="0.25">
      <c r="A1558" t="s">
        <v>75</v>
      </c>
      <c r="B1558" s="12">
        <f>B1557+1</f>
        <v>358</v>
      </c>
      <c r="C1558" s="12">
        <f>B1557+20</f>
        <v>377</v>
      </c>
      <c r="D1558" s="12">
        <f>C1558+1</f>
        <v>378</v>
      </c>
    </row>
    <row r="1559" spans="1:4" x14ac:dyDescent="0.25">
      <c r="A1559" t="s">
        <v>75</v>
      </c>
      <c r="B1559" s="12">
        <f>B1558</f>
        <v>358</v>
      </c>
      <c r="C1559" s="12">
        <f>B1559+1</f>
        <v>359</v>
      </c>
      <c r="D1559" s="12">
        <f>B1559+20</f>
        <v>378</v>
      </c>
    </row>
    <row r="1560" spans="1:4" x14ac:dyDescent="0.25">
      <c r="A1560" t="s">
        <v>75</v>
      </c>
      <c r="B1560" s="12">
        <f>B1559+1</f>
        <v>359</v>
      </c>
      <c r="C1560" s="12">
        <f>B1559+20</f>
        <v>378</v>
      </c>
      <c r="D1560" s="12">
        <f>C1560+1</f>
        <v>379</v>
      </c>
    </row>
    <row r="1561" spans="1:4" x14ac:dyDescent="0.25">
      <c r="A1561" t="s">
        <v>75</v>
      </c>
      <c r="B1561" s="12">
        <f>B1560</f>
        <v>359</v>
      </c>
      <c r="C1561" s="12">
        <f>B1561+1</f>
        <v>360</v>
      </c>
      <c r="D1561" s="12">
        <f>B1561+20</f>
        <v>379</v>
      </c>
    </row>
    <row r="1562" spans="1:4" x14ac:dyDescent="0.25">
      <c r="A1562" t="s">
        <v>75</v>
      </c>
      <c r="B1562" s="12">
        <f>B1561+1</f>
        <v>360</v>
      </c>
      <c r="C1562" s="12">
        <f>B1561+20</f>
        <v>379</v>
      </c>
      <c r="D1562" s="12">
        <f>C1562+1</f>
        <v>380</v>
      </c>
    </row>
    <row r="1563" spans="1:4" x14ac:dyDescent="0.25">
      <c r="A1563" t="s">
        <v>75</v>
      </c>
      <c r="B1563" s="12">
        <f>B1562</f>
        <v>360</v>
      </c>
      <c r="C1563" s="12">
        <f>B1563+1</f>
        <v>361</v>
      </c>
      <c r="D1563" s="12">
        <f>B1563+20</f>
        <v>380</v>
      </c>
    </row>
    <row r="1564" spans="1:4" x14ac:dyDescent="0.25">
      <c r="A1564" t="s">
        <v>75</v>
      </c>
      <c r="B1564" s="12">
        <f>B1563+1</f>
        <v>361</v>
      </c>
      <c r="C1564" s="12">
        <f>B1563+20</f>
        <v>380</v>
      </c>
      <c r="D1564" s="12">
        <f>C1564+1</f>
        <v>381</v>
      </c>
    </row>
    <row r="1565" spans="1:4" x14ac:dyDescent="0.25">
      <c r="A1565" t="s">
        <v>75</v>
      </c>
      <c r="B1565" s="12">
        <f>B1564</f>
        <v>361</v>
      </c>
      <c r="C1565" s="12">
        <f>B1565+1</f>
        <v>362</v>
      </c>
      <c r="D1565" s="12">
        <f>B1565+20</f>
        <v>381</v>
      </c>
    </row>
    <row r="1566" spans="1:4" x14ac:dyDescent="0.25">
      <c r="A1566" t="s">
        <v>75</v>
      </c>
      <c r="B1566" s="12">
        <f>B1565+1</f>
        <v>362</v>
      </c>
      <c r="C1566" s="12">
        <f>B1565+20</f>
        <v>381</v>
      </c>
      <c r="D1566" s="12">
        <f>C1566+1</f>
        <v>382</v>
      </c>
    </row>
    <row r="1567" spans="1:4" x14ac:dyDescent="0.25">
      <c r="A1567" t="s">
        <v>75</v>
      </c>
      <c r="B1567" s="12">
        <f>B1566</f>
        <v>362</v>
      </c>
      <c r="C1567" s="12">
        <f>B1567+1</f>
        <v>363</v>
      </c>
      <c r="D1567" s="12">
        <f>B1567+20</f>
        <v>382</v>
      </c>
    </row>
    <row r="1568" spans="1:4" x14ac:dyDescent="0.25">
      <c r="A1568" t="s">
        <v>75</v>
      </c>
      <c r="B1568" s="12">
        <f>B1567+1</f>
        <v>363</v>
      </c>
      <c r="C1568" s="12">
        <f>B1567+20</f>
        <v>382</v>
      </c>
      <c r="D1568" s="12">
        <f>C1568+1</f>
        <v>383</v>
      </c>
    </row>
    <row r="1569" spans="1:4" x14ac:dyDescent="0.25">
      <c r="A1569" t="s">
        <v>75</v>
      </c>
      <c r="B1569" s="12">
        <f>B1568</f>
        <v>363</v>
      </c>
      <c r="C1569" s="12">
        <f>B1569+1</f>
        <v>364</v>
      </c>
      <c r="D1569" s="12">
        <f>B1569+20</f>
        <v>383</v>
      </c>
    </row>
    <row r="1570" spans="1:4" x14ac:dyDescent="0.25">
      <c r="A1570" t="s">
        <v>75</v>
      </c>
      <c r="B1570" s="12">
        <f>B1569+1</f>
        <v>364</v>
      </c>
      <c r="C1570" s="12">
        <f>B1569+20</f>
        <v>383</v>
      </c>
      <c r="D1570" s="12">
        <f>C1570+1</f>
        <v>384</v>
      </c>
    </row>
    <row r="1571" spans="1:4" x14ac:dyDescent="0.25">
      <c r="A1571" t="s">
        <v>75</v>
      </c>
      <c r="B1571" s="12">
        <f>B1570</f>
        <v>364</v>
      </c>
      <c r="C1571" s="12">
        <f>B1571+1</f>
        <v>365</v>
      </c>
      <c r="D1571" s="12">
        <f>B1571+20</f>
        <v>384</v>
      </c>
    </row>
    <row r="1572" spans="1:4" x14ac:dyDescent="0.25">
      <c r="A1572" t="s">
        <v>75</v>
      </c>
      <c r="B1572" s="12">
        <f>B1571+1</f>
        <v>365</v>
      </c>
      <c r="C1572" s="12">
        <f>B1571+20</f>
        <v>384</v>
      </c>
      <c r="D1572" s="12">
        <f>C1572+1</f>
        <v>385</v>
      </c>
    </row>
    <row r="1573" spans="1:4" x14ac:dyDescent="0.25">
      <c r="A1573" t="s">
        <v>75</v>
      </c>
      <c r="B1573" s="12">
        <f>B1572</f>
        <v>365</v>
      </c>
      <c r="C1573" s="12">
        <f>B1573+1</f>
        <v>366</v>
      </c>
      <c r="D1573" s="12">
        <f>B1573+20</f>
        <v>385</v>
      </c>
    </row>
    <row r="1574" spans="1:4" x14ac:dyDescent="0.25">
      <c r="A1574" t="s">
        <v>75</v>
      </c>
      <c r="B1574" s="12">
        <f>B1573+1</f>
        <v>366</v>
      </c>
      <c r="C1574" s="12">
        <f>B1573+20</f>
        <v>385</v>
      </c>
      <c r="D1574" s="12">
        <f>C1574+1</f>
        <v>386</v>
      </c>
    </row>
    <row r="1575" spans="1:4" x14ac:dyDescent="0.25">
      <c r="A1575" t="s">
        <v>75</v>
      </c>
      <c r="B1575" s="12">
        <f>B1574</f>
        <v>366</v>
      </c>
      <c r="C1575" s="12">
        <f>B1575+1</f>
        <v>367</v>
      </c>
      <c r="D1575" s="12">
        <f>B1575+20</f>
        <v>386</v>
      </c>
    </row>
    <row r="1576" spans="1:4" x14ac:dyDescent="0.25">
      <c r="A1576" t="s">
        <v>75</v>
      </c>
      <c r="B1576" s="12">
        <f>B1575+1</f>
        <v>367</v>
      </c>
      <c r="C1576" s="12">
        <f>B1575+20</f>
        <v>386</v>
      </c>
      <c r="D1576" s="12">
        <f>C1576+1</f>
        <v>387</v>
      </c>
    </row>
    <row r="1577" spans="1:4" x14ac:dyDescent="0.25">
      <c r="A1577" t="s">
        <v>75</v>
      </c>
      <c r="B1577" s="12">
        <f>B1576</f>
        <v>367</v>
      </c>
      <c r="C1577" s="12">
        <f>B1577+1</f>
        <v>368</v>
      </c>
      <c r="D1577" s="12">
        <f>B1577+20</f>
        <v>387</v>
      </c>
    </row>
    <row r="1578" spans="1:4" x14ac:dyDescent="0.25">
      <c r="A1578" t="s">
        <v>75</v>
      </c>
      <c r="B1578" s="12">
        <f>B1577+1</f>
        <v>368</v>
      </c>
      <c r="C1578" s="12">
        <f>B1577+20</f>
        <v>387</v>
      </c>
      <c r="D1578" s="12">
        <f>C1578+1</f>
        <v>388</v>
      </c>
    </row>
    <row r="1579" spans="1:4" x14ac:dyDescent="0.25">
      <c r="A1579" t="s">
        <v>75</v>
      </c>
      <c r="B1579" s="12">
        <f>B1578</f>
        <v>368</v>
      </c>
      <c r="C1579" s="12">
        <f>B1579+1</f>
        <v>369</v>
      </c>
      <c r="D1579" s="12">
        <f>B1579+20</f>
        <v>388</v>
      </c>
    </row>
    <row r="1580" spans="1:4" x14ac:dyDescent="0.25">
      <c r="A1580" t="s">
        <v>75</v>
      </c>
      <c r="B1580" s="12">
        <f>B1579+1</f>
        <v>369</v>
      </c>
      <c r="C1580" s="12">
        <f>B1579+20</f>
        <v>388</v>
      </c>
      <c r="D1580" s="12">
        <f>C1580+1</f>
        <v>389</v>
      </c>
    </row>
    <row r="1581" spans="1:4" x14ac:dyDescent="0.25">
      <c r="A1581" t="s">
        <v>75</v>
      </c>
      <c r="B1581" s="12">
        <f>B1580</f>
        <v>369</v>
      </c>
      <c r="C1581" s="12">
        <f>B1581+1</f>
        <v>370</v>
      </c>
      <c r="D1581" s="12">
        <f>B1581+20</f>
        <v>389</v>
      </c>
    </row>
    <row r="1582" spans="1:4" x14ac:dyDescent="0.25">
      <c r="A1582" t="s">
        <v>75</v>
      </c>
      <c r="B1582" s="12">
        <f>B1581+1</f>
        <v>370</v>
      </c>
      <c r="C1582" s="12">
        <f>B1581+20</f>
        <v>389</v>
      </c>
      <c r="D1582" s="12">
        <f>C1582+1</f>
        <v>390</v>
      </c>
    </row>
    <row r="1583" spans="1:4" x14ac:dyDescent="0.25">
      <c r="A1583" t="s">
        <v>75</v>
      </c>
      <c r="B1583" s="12">
        <f>B1582</f>
        <v>370</v>
      </c>
      <c r="C1583" s="12">
        <f>B1583+1</f>
        <v>371</v>
      </c>
      <c r="D1583" s="12">
        <f>B1583+20</f>
        <v>390</v>
      </c>
    </row>
    <row r="1584" spans="1:4" x14ac:dyDescent="0.25">
      <c r="A1584" t="s">
        <v>75</v>
      </c>
      <c r="B1584" s="12">
        <f>B1583+1</f>
        <v>371</v>
      </c>
      <c r="C1584" s="12">
        <f>B1583+20</f>
        <v>390</v>
      </c>
      <c r="D1584" s="12">
        <f>C1584+1</f>
        <v>391</v>
      </c>
    </row>
    <row r="1585" spans="1:4" x14ac:dyDescent="0.25">
      <c r="A1585" t="s">
        <v>75</v>
      </c>
      <c r="B1585" s="12">
        <f>B1584</f>
        <v>371</v>
      </c>
      <c r="C1585" s="12">
        <f>B1585+1</f>
        <v>372</v>
      </c>
      <c r="D1585" s="12">
        <f>B1585+20</f>
        <v>391</v>
      </c>
    </row>
    <row r="1586" spans="1:4" x14ac:dyDescent="0.25">
      <c r="A1586" t="s">
        <v>75</v>
      </c>
      <c r="B1586" s="12">
        <f>B1585+1</f>
        <v>372</v>
      </c>
      <c r="C1586" s="12">
        <f>B1585+20</f>
        <v>391</v>
      </c>
      <c r="D1586" s="12">
        <f>C1586+1</f>
        <v>392</v>
      </c>
    </row>
    <row r="1587" spans="1:4" x14ac:dyDescent="0.25">
      <c r="A1587" t="s">
        <v>75</v>
      </c>
      <c r="B1587" s="12">
        <f>B1586</f>
        <v>372</v>
      </c>
      <c r="C1587" s="12">
        <f>B1587+1</f>
        <v>373</v>
      </c>
      <c r="D1587" s="12">
        <f>B1587+20</f>
        <v>392</v>
      </c>
    </row>
    <row r="1588" spans="1:4" x14ac:dyDescent="0.25">
      <c r="A1588" t="s">
        <v>75</v>
      </c>
      <c r="B1588" s="12">
        <f>B1587+1</f>
        <v>373</v>
      </c>
      <c r="C1588" s="12">
        <f>B1587+20</f>
        <v>392</v>
      </c>
      <c r="D1588" s="12">
        <f>C1588+1</f>
        <v>393</v>
      </c>
    </row>
    <row r="1589" spans="1:4" x14ac:dyDescent="0.25">
      <c r="A1589" t="s">
        <v>75</v>
      </c>
      <c r="B1589" s="12">
        <f>B1588</f>
        <v>373</v>
      </c>
      <c r="C1589" s="12">
        <f>B1589+1</f>
        <v>374</v>
      </c>
      <c r="D1589" s="12">
        <f>B1589+20</f>
        <v>393</v>
      </c>
    </row>
    <row r="1590" spans="1:4" x14ac:dyDescent="0.25">
      <c r="A1590" t="s">
        <v>75</v>
      </c>
      <c r="B1590" s="12">
        <f>B1589+1</f>
        <v>374</v>
      </c>
      <c r="C1590" s="12">
        <f>B1589+20</f>
        <v>393</v>
      </c>
      <c r="D1590" s="12">
        <f>C1590+1</f>
        <v>394</v>
      </c>
    </row>
    <row r="1591" spans="1:4" x14ac:dyDescent="0.25">
      <c r="A1591" t="s">
        <v>75</v>
      </c>
      <c r="B1591" s="12">
        <f>B1590</f>
        <v>374</v>
      </c>
      <c r="C1591" s="12">
        <f>B1591+1</f>
        <v>375</v>
      </c>
      <c r="D1591" s="12">
        <f>B1591+20</f>
        <v>394</v>
      </c>
    </row>
    <row r="1592" spans="1:4" x14ac:dyDescent="0.25">
      <c r="A1592" t="s">
        <v>75</v>
      </c>
      <c r="B1592" s="12">
        <f>B1591+1</f>
        <v>375</v>
      </c>
      <c r="C1592" s="12">
        <f>B1591+20</f>
        <v>394</v>
      </c>
      <c r="D1592" s="12">
        <f>C1592+1</f>
        <v>395</v>
      </c>
    </row>
    <row r="1593" spans="1:4" x14ac:dyDescent="0.25">
      <c r="A1593" t="s">
        <v>75</v>
      </c>
      <c r="B1593" s="12">
        <f>B1592</f>
        <v>375</v>
      </c>
      <c r="C1593" s="12">
        <f>B1593+1</f>
        <v>376</v>
      </c>
      <c r="D1593" s="12">
        <f>B1593+20</f>
        <v>395</v>
      </c>
    </row>
    <row r="1594" spans="1:4" x14ac:dyDescent="0.25">
      <c r="A1594" t="s">
        <v>75</v>
      </c>
      <c r="B1594" s="12">
        <f>B1593+1</f>
        <v>376</v>
      </c>
      <c r="C1594" s="12">
        <f>B1593+20</f>
        <v>395</v>
      </c>
      <c r="D1594" s="12">
        <f>C1594+1</f>
        <v>396</v>
      </c>
    </row>
    <row r="1595" spans="1:4" x14ac:dyDescent="0.25">
      <c r="A1595" t="s">
        <v>75</v>
      </c>
      <c r="B1595" s="12">
        <f>B1594</f>
        <v>376</v>
      </c>
      <c r="C1595" s="12">
        <f>B1595+1</f>
        <v>377</v>
      </c>
      <c r="D1595" s="12">
        <f>B1595+20</f>
        <v>396</v>
      </c>
    </row>
    <row r="1596" spans="1:4" x14ac:dyDescent="0.25">
      <c r="A1596" t="s">
        <v>75</v>
      </c>
      <c r="B1596" s="12">
        <f>B1595+1</f>
        <v>377</v>
      </c>
      <c r="C1596" s="12">
        <f>B1595+20</f>
        <v>396</v>
      </c>
      <c r="D1596" s="12">
        <f>C1596+1</f>
        <v>397</v>
      </c>
    </row>
    <row r="1597" spans="1:4" x14ac:dyDescent="0.25">
      <c r="A1597" t="s">
        <v>75</v>
      </c>
      <c r="B1597" s="12">
        <f>B1596</f>
        <v>377</v>
      </c>
      <c r="C1597" s="12">
        <f>B1597+1</f>
        <v>378</v>
      </c>
      <c r="D1597" s="12">
        <f>B1597+20</f>
        <v>397</v>
      </c>
    </row>
    <row r="1598" spans="1:4" x14ac:dyDescent="0.25">
      <c r="A1598" t="s">
        <v>75</v>
      </c>
      <c r="B1598" s="12">
        <f>B1597+1</f>
        <v>378</v>
      </c>
      <c r="C1598" s="12">
        <f>B1597+20</f>
        <v>397</v>
      </c>
      <c r="D1598" s="12">
        <f>C1598+1</f>
        <v>398</v>
      </c>
    </row>
    <row r="1599" spans="1:4" x14ac:dyDescent="0.25">
      <c r="A1599" t="s">
        <v>75</v>
      </c>
      <c r="B1599" s="12">
        <f>B1598</f>
        <v>378</v>
      </c>
      <c r="C1599" s="12">
        <f>B1599+1</f>
        <v>379</v>
      </c>
      <c r="D1599" s="12">
        <f>B1599+20</f>
        <v>398</v>
      </c>
    </row>
    <row r="1600" spans="1:4" x14ac:dyDescent="0.25">
      <c r="A1600" t="s">
        <v>75</v>
      </c>
      <c r="B1600" s="12">
        <f>B1599+1</f>
        <v>379</v>
      </c>
      <c r="C1600" s="12">
        <f>B1599+20</f>
        <v>398</v>
      </c>
      <c r="D1600" s="12">
        <f>C1600+1</f>
        <v>399</v>
      </c>
    </row>
    <row r="1601" spans="1:4" x14ac:dyDescent="0.25">
      <c r="A1601" t="s">
        <v>75</v>
      </c>
      <c r="B1601" s="12">
        <f>B1600</f>
        <v>379</v>
      </c>
      <c r="C1601" s="12">
        <f>B1601+1</f>
        <v>380</v>
      </c>
      <c r="D1601" s="12">
        <f>B1601+20</f>
        <v>399</v>
      </c>
    </row>
    <row r="1602" spans="1:4" x14ac:dyDescent="0.25">
      <c r="A1602" t="s">
        <v>75</v>
      </c>
      <c r="B1602" s="12">
        <f>B1601+1</f>
        <v>380</v>
      </c>
      <c r="C1602" s="12">
        <f>B1601+20</f>
        <v>399</v>
      </c>
      <c r="D1602" s="12">
        <f>C1602+1</f>
        <v>400</v>
      </c>
    </row>
    <row r="1603" spans="1:4" x14ac:dyDescent="0.25">
      <c r="A1603" t="s">
        <v>75</v>
      </c>
      <c r="B1603" s="12">
        <f>B1602</f>
        <v>380</v>
      </c>
      <c r="C1603" s="12">
        <f>B1603+1</f>
        <v>381</v>
      </c>
      <c r="D1603" s="12">
        <f>B1603+20</f>
        <v>400</v>
      </c>
    </row>
    <row r="1604" spans="1:4" x14ac:dyDescent="0.25">
      <c r="B1604" s="12"/>
      <c r="C1604" s="12"/>
      <c r="D1604" s="12"/>
    </row>
    <row r="1605" spans="1:4" x14ac:dyDescent="0.25">
      <c r="B1605" s="12"/>
      <c r="C1605" s="12"/>
      <c r="D1605" s="12"/>
    </row>
    <row r="1606" spans="1:4" x14ac:dyDescent="0.25">
      <c r="B1606" s="12"/>
      <c r="C1606" s="12"/>
      <c r="D1606" s="12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topLeftCell="A2" workbookViewId="0">
      <selection activeCell="B22" sqref="B22"/>
    </sheetView>
  </sheetViews>
  <sheetFormatPr defaultRowHeight="15" x14ac:dyDescent="0.25"/>
  <sheetData>
    <row r="1" spans="1:27" x14ac:dyDescent="0.25">
      <c r="A1" s="23">
        <f xml:space="preserve"> AVERAGE( $B$2:$AA$2 )</f>
        <v>0.82500000000000007</v>
      </c>
      <c r="B1" s="23">
        <f xml:space="preserve"> AVERAGE( $A$5:$A$10 )</f>
        <v>12.5</v>
      </c>
      <c r="C1" s="89">
        <f xml:space="preserve"> _xll.InterpMatrix( $B$3:$AA$10, A1, B1 )</f>
        <v>4.2083072335230565E-2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.75" thickBot="1" x14ac:dyDescent="0.3">
      <c r="A2" s="16" t="s">
        <v>271</v>
      </c>
      <c r="B2" s="16">
        <v>0.7</v>
      </c>
      <c r="C2" s="16">
        <v>0.71</v>
      </c>
      <c r="D2" s="16">
        <v>0.72</v>
      </c>
      <c r="E2" s="16">
        <v>0.73</v>
      </c>
      <c r="F2" s="16">
        <v>0.74</v>
      </c>
      <c r="G2" s="16">
        <v>0.75</v>
      </c>
      <c r="H2" s="16">
        <v>0.76</v>
      </c>
      <c r="I2" s="16">
        <v>0.77</v>
      </c>
      <c r="J2" s="16">
        <v>0.78</v>
      </c>
      <c r="K2" s="16">
        <v>0.79</v>
      </c>
      <c r="L2" s="16">
        <v>0.8</v>
      </c>
      <c r="M2" s="16">
        <v>0.81</v>
      </c>
      <c r="N2" s="16">
        <v>0.82000000000000006</v>
      </c>
      <c r="O2" s="16">
        <v>0.83000000000000007</v>
      </c>
      <c r="P2" s="16">
        <v>0.84000000000000008</v>
      </c>
      <c r="Q2" s="16">
        <v>0.85000000000000009</v>
      </c>
      <c r="R2" s="16">
        <v>0.8600000000000001</v>
      </c>
      <c r="S2" s="16">
        <v>0.87000000000000011</v>
      </c>
      <c r="T2" s="16">
        <v>0.88000000000000012</v>
      </c>
      <c r="U2" s="16">
        <v>0.89000000000000012</v>
      </c>
      <c r="V2" s="16">
        <v>0.90000000000000013</v>
      </c>
      <c r="W2" s="16">
        <v>0.91000000000000014</v>
      </c>
      <c r="X2" s="16">
        <v>0.92000000000000015</v>
      </c>
      <c r="Y2" s="16">
        <v>0.93000000000000016</v>
      </c>
      <c r="Z2" s="16">
        <v>0.94000000000000017</v>
      </c>
      <c r="AA2" s="16">
        <v>0.95</v>
      </c>
    </row>
    <row r="3" spans="1:27" ht="15.75" thickTop="1" x14ac:dyDescent="0.25">
      <c r="A3" s="16"/>
      <c r="B3" s="90">
        <v>0.7</v>
      </c>
      <c r="C3" s="91">
        <v>0.95</v>
      </c>
      <c r="D3" s="91">
        <v>0</v>
      </c>
      <c r="E3" s="91">
        <v>30</v>
      </c>
      <c r="F3" s="91">
        <v>26</v>
      </c>
      <c r="G3" s="91">
        <v>7</v>
      </c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2"/>
    </row>
    <row r="4" spans="1:27" x14ac:dyDescent="0.25">
      <c r="A4" s="235">
        <v>30</v>
      </c>
      <c r="B4" s="236">
        <f>_xll.Spline($A$5:$A$10,B5:B10,$A$4,TRUE)</f>
        <v>-4.5109018118418776E-2</v>
      </c>
      <c r="C4" s="237">
        <f>_xll.Spline($A$5:$A$10,C5:C10,$A$4,TRUE)</f>
        <v>-4.768976724235513E-2</v>
      </c>
      <c r="D4" s="237">
        <f>_xll.Spline($A$5:$A$10,D5:D10,$A$4,TRUE)</f>
        <v>-4.9567749073504017E-2</v>
      </c>
      <c r="E4" s="237">
        <f>_xll.Spline($A$5:$A$10,E5:E10,$A$4,TRUE)</f>
        <v>-5.0316367757028482E-2</v>
      </c>
      <c r="F4" s="237">
        <f>_xll.Spline($A$5:$A$10,F5:F10,$A$4,TRUE)</f>
        <v>-5.0082002937880857E-2</v>
      </c>
      <c r="G4" s="237">
        <f>_xll.Spline($A$5:$A$10,G5:G10,$A$4,TRUE)</f>
        <v>-4.8370104068732475E-2</v>
      </c>
      <c r="H4" s="237">
        <f>_xll.Spline($A$5:$A$10,H5:H10,$A$4,TRUE)</f>
        <v>-4.4963764240419583E-2</v>
      </c>
      <c r="I4" s="237">
        <f>_xll.Spline($A$5:$A$10,I5:I10,$A$4,TRUE)</f>
        <v>-3.8310006731246966E-2</v>
      </c>
      <c r="J4" s="237">
        <f>_xll.Spline($A$5:$A$10,J5:J10,$A$4,TRUE)</f>
        <v>-2.8699888489315133E-2</v>
      </c>
      <c r="K4" s="237">
        <f>_xll.Spline($A$5:$A$10,K5:K10,$A$4,TRUE)</f>
        <v>-1.6457949433182954E-2</v>
      </c>
      <c r="L4" s="237">
        <f>_xll.Spline($A$5:$A$10,L5:L10,$A$4,TRUE)</f>
        <v>-1.9686283695023185E-3</v>
      </c>
      <c r="M4" s="237">
        <f>_xll.Spline($A$5:$A$10,M5:M10,$A$4,TRUE)</f>
        <v>8.755922462259088E-3</v>
      </c>
      <c r="N4" s="237">
        <f>_xll.Spline($A$5:$A$10,N5:N10,$A$4,TRUE)</f>
        <v>2.5782620109473648E-2</v>
      </c>
      <c r="O4" s="237">
        <f>_xll.Spline($A$5:$A$10,O5:O10,$A$4,TRUE)</f>
        <v>4.385985050491252E-2</v>
      </c>
      <c r="P4" s="237">
        <f>_xll.Spline($A$5:$A$10,P5:P10,$A$4,TRUE)</f>
        <v>6.2470211548350793E-2</v>
      </c>
      <c r="Q4" s="237">
        <f>_xll.Spline($A$5:$A$10,Q5:Q10,$A$4,TRUE)</f>
        <v>8.1234052091420816E-2</v>
      </c>
      <c r="R4" s="237">
        <f>_xll.Spline($A$5:$A$10,R5:R10,$A$4,TRUE)</f>
        <v>9.9789629614535302E-2</v>
      </c>
      <c r="S4" s="237">
        <f>_xll.Spline($A$5:$A$10,S5:S10,$A$4,TRUE)</f>
        <v>0.1177973065920532</v>
      </c>
      <c r="T4" s="237">
        <f>_xll.Spline($A$5:$A$10,T5:T10,$A$4,TRUE)</f>
        <v>0.13494374685744598</v>
      </c>
      <c r="U4" s="237">
        <f>_xll.Spline($A$5:$A$10,U5:U10,$A$4,TRUE)</f>
        <v>0.150946111968463</v>
      </c>
      <c r="V4" s="237">
        <f>_xll.Spline($A$5:$A$10,V5:V10,$A$4,TRUE)</f>
        <v>0.16555625757229786</v>
      </c>
      <c r="W4" s="237">
        <f>_xll.Spline($A$5:$A$10,W5:W10,$A$4,TRUE)</f>
        <v>0.17856492977075389</v>
      </c>
      <c r="X4" s="237">
        <f>_xll.Spline($A$5:$A$10,X5:X10,$A$4,TRUE)</f>
        <v>0.18980596148541073</v>
      </c>
      <c r="Y4" s="237">
        <f>_xll.Spline($A$5:$A$10,Y5:Y10,$A$4,TRUE)</f>
        <v>0.19916046882278932</v>
      </c>
      <c r="Z4" s="237">
        <f>_xll.Spline($A$5:$A$10,Z5:Z10,$A$4,TRUE)</f>
        <v>0.2065610474395187</v>
      </c>
      <c r="AA4" s="238">
        <f>_xll.Spline($A$5:$A$10,AA5:AA10,$A$4,TRUE)</f>
        <v>0.21199596890750139</v>
      </c>
    </row>
    <row r="5" spans="1:27" x14ac:dyDescent="0.25">
      <c r="A5" s="16">
        <v>25</v>
      </c>
      <c r="B5" s="93">
        <v>9.2484639354843551E-2</v>
      </c>
      <c r="C5" s="44">
        <v>6.7435464742513301E-2</v>
      </c>
      <c r="D5" s="44">
        <v>4.750247826059293E-2</v>
      </c>
      <c r="E5" s="44">
        <v>3.176891340428703E-2</v>
      </c>
      <c r="F5" s="44">
        <v>1.9333921088818325E-2</v>
      </c>
      <c r="G5" s="44">
        <v>9.8225847345535678E-3</v>
      </c>
      <c r="H5" s="44">
        <v>2.9449867095748122E-3</v>
      </c>
      <c r="I5" s="44">
        <v>-7.6376381076718807E-4</v>
      </c>
      <c r="J5" s="44">
        <v>-1.7390353379787783E-3</v>
      </c>
      <c r="K5" s="44">
        <v>-2.9764597462538997E-4</v>
      </c>
      <c r="L5" s="44">
        <v>3.2371221036767849E-3</v>
      </c>
      <c r="M5" s="44">
        <v>8.5397190134267279E-3</v>
      </c>
      <c r="N5" s="44">
        <v>1.5286523528404419E-2</v>
      </c>
      <c r="O5" s="44">
        <v>2.3160039444836935E-2</v>
      </c>
      <c r="P5" s="44">
        <v>3.1853091946564126E-2</v>
      </c>
      <c r="Q5" s="44">
        <v>4.1073023970204722E-2</v>
      </c>
      <c r="R5" s="44">
        <v>5.0545892570322139E-2</v>
      </c>
      <c r="S5" s="44">
        <v>6.0020665284590359E-2</v>
      </c>
      <c r="T5" s="44">
        <v>6.9273416498960044E-2</v>
      </c>
      <c r="U5" s="44">
        <v>7.8111523812824185E-2</v>
      </c>
      <c r="V5" s="44">
        <v>8.6377864404184185E-2</v>
      </c>
      <c r="W5" s="44">
        <v>9.3955011394815643E-2</v>
      </c>
      <c r="X5" s="44">
        <v>0.10076943021543451</v>
      </c>
      <c r="Y5" s="44">
        <v>0.10679567497086258</v>
      </c>
      <c r="Z5" s="44">
        <v>0.11206058480519387</v>
      </c>
      <c r="AA5" s="94">
        <v>0.11664748026696022</v>
      </c>
    </row>
    <row r="6" spans="1:27" x14ac:dyDescent="0.25">
      <c r="A6" s="16">
        <v>20</v>
      </c>
      <c r="B6" s="93">
        <v>0.23007829682810588</v>
      </c>
      <c r="C6" s="44">
        <v>0.18256069672738173</v>
      </c>
      <c r="D6" s="44">
        <v>0.14457270559468988</v>
      </c>
      <c r="E6" s="44">
        <v>0.11385419456560254</v>
      </c>
      <c r="F6" s="44">
        <v>8.8749845115517506E-2</v>
      </c>
      <c r="G6" s="44">
        <v>6.8015273537839607E-2</v>
      </c>
      <c r="H6" s="44">
        <v>5.0853737659569208E-2</v>
      </c>
      <c r="I6" s="44">
        <v>3.6782479109712593E-2</v>
      </c>
      <c r="J6" s="44">
        <v>2.5221817813357576E-2</v>
      </c>
      <c r="K6" s="44">
        <v>1.5862657483932174E-2</v>
      </c>
      <c r="L6" s="44">
        <v>8.4428725768558883E-3</v>
      </c>
      <c r="M6" s="44">
        <v>8.3235155645943679E-3</v>
      </c>
      <c r="N6" s="44">
        <v>4.7904269473351899E-3</v>
      </c>
      <c r="O6" s="44">
        <v>2.4602283847613474E-3</v>
      </c>
      <c r="P6" s="44">
        <v>1.2359723447774617E-3</v>
      </c>
      <c r="Q6" s="44">
        <v>9.1199584898863436E-4</v>
      </c>
      <c r="R6" s="44">
        <v>1.3021555261089768E-3</v>
      </c>
      <c r="S6" s="44">
        <v>2.2440239771275169E-3</v>
      </c>
      <c r="T6" s="44">
        <v>3.603086140474116E-3</v>
      </c>
      <c r="U6" s="44">
        <v>5.2769356571853642E-3</v>
      </c>
      <c r="V6" s="44">
        <v>7.1994712360705232E-3</v>
      </c>
      <c r="W6" s="44">
        <v>9.3450930188774036E-3</v>
      </c>
      <c r="X6" s="44">
        <v>1.1732898945458281E-2</v>
      </c>
      <c r="Y6" s="44">
        <v>1.443088111893585E-2</v>
      </c>
      <c r="Z6" s="44">
        <v>1.7560122170869059E-2</v>
      </c>
      <c r="AA6" s="94">
        <v>2.1298991626419031E-2</v>
      </c>
    </row>
    <row r="7" spans="1:27" x14ac:dyDescent="0.25">
      <c r="A7" s="16">
        <v>15</v>
      </c>
      <c r="B7" s="93">
        <v>0.43081459648729481</v>
      </c>
      <c r="C7" s="44">
        <v>0.34752175121706386</v>
      </c>
      <c r="D7" s="44">
        <v>0.28258035466040754</v>
      </c>
      <c r="E7" s="44">
        <v>0.23099546347860964</v>
      </c>
      <c r="F7" s="44">
        <v>0.18899664808687411</v>
      </c>
      <c r="G7" s="44">
        <v>0.15446245616597939</v>
      </c>
      <c r="H7" s="44">
        <v>0.12563632484635612</v>
      </c>
      <c r="I7" s="44">
        <v>0.10159180862717244</v>
      </c>
      <c r="J7" s="44">
        <v>8.1368343049105896E-2</v>
      </c>
      <c r="K7" s="44">
        <v>6.4279252869441403E-2</v>
      </c>
      <c r="L7" s="44">
        <v>4.9815948029699623E-2</v>
      </c>
      <c r="M7" s="44">
        <v>3.763373500631214E-2</v>
      </c>
      <c r="N7" s="44">
        <v>2.7329829770996232E-2</v>
      </c>
      <c r="O7" s="44">
        <v>1.8710554926367452E-2</v>
      </c>
      <c r="P7" s="44">
        <v>1.1620550885065865E-2</v>
      </c>
      <c r="Q7" s="44">
        <v>5.9379813866632528E-3</v>
      </c>
      <c r="R7" s="44">
        <v>1.1807759050672774E-3</v>
      </c>
      <c r="S7" s="44">
        <v>-6.0284094978794184E-3</v>
      </c>
      <c r="T7" s="44">
        <v>-9.0269882141578491E-3</v>
      </c>
      <c r="U7" s="44">
        <v>-1.1127964834034139E-2</v>
      </c>
      <c r="V7" s="44">
        <v>-1.235375960602049E-2</v>
      </c>
      <c r="W7" s="44">
        <v>-1.2685485856526247E-2</v>
      </c>
      <c r="X7" s="44">
        <v>-1.2058753624691989E-2</v>
      </c>
      <c r="Y7" s="44">
        <v>-1.035947329722362E-2</v>
      </c>
      <c r="Z7" s="44">
        <v>-7.4196592432264428E-3</v>
      </c>
      <c r="AA7" s="94">
        <v>-3.0132334490393831E-3</v>
      </c>
    </row>
    <row r="8" spans="1:27" x14ac:dyDescent="0.25">
      <c r="A8" s="16">
        <v>10</v>
      </c>
      <c r="B8" s="93">
        <v>0.72698188931735397</v>
      </c>
      <c r="C8" s="44">
        <v>0.58434170429185617</v>
      </c>
      <c r="D8" s="44">
        <v>0.4756251194640605</v>
      </c>
      <c r="E8" s="44">
        <v>0.39147986408080898</v>
      </c>
      <c r="F8" s="44">
        <v>0.32467973835119596</v>
      </c>
      <c r="G8" s="44">
        <v>0.27063140494761961</v>
      </c>
      <c r="H8" s="44">
        <v>0.2263228807939793</v>
      </c>
      <c r="I8" s="44">
        <v>0.18904225540377251</v>
      </c>
      <c r="J8" s="44">
        <v>0.15799678244737927</v>
      </c>
      <c r="K8" s="44">
        <v>0.13169534002324901</v>
      </c>
      <c r="L8" s="44">
        <v>0.10926762137782139</v>
      </c>
      <c r="M8" s="44">
        <v>9.0049819745028431E-2</v>
      </c>
      <c r="N8" s="44">
        <v>7.3524204114879838E-2</v>
      </c>
      <c r="O8" s="44">
        <v>5.9284353192150308E-2</v>
      </c>
      <c r="P8" s="44">
        <v>4.7002848222631143E-2</v>
      </c>
      <c r="Q8" s="44">
        <v>3.6428463020388685E-2</v>
      </c>
      <c r="R8" s="44">
        <v>2.7355398240401008E-2</v>
      </c>
      <c r="S8" s="44">
        <v>1.9633685495414294E-2</v>
      </c>
      <c r="T8" s="44">
        <v>1.3108735056260349E-2</v>
      </c>
      <c r="U8" s="44">
        <v>7.7036317941865228E-3</v>
      </c>
      <c r="V8" s="44">
        <v>3.408789180586375E-3</v>
      </c>
      <c r="W8" s="44">
        <v>3.5486535743277603E-4</v>
      </c>
      <c r="X8" s="44">
        <v>-1.682668154282583E-3</v>
      </c>
      <c r="Y8" s="44">
        <v>-3.0581739549764477E-3</v>
      </c>
      <c r="Z8" s="44">
        <v>-4.0961995255381582E-3</v>
      </c>
      <c r="AA8" s="94">
        <v>-4.9455567251850165E-3</v>
      </c>
    </row>
    <row r="9" spans="1:27" x14ac:dyDescent="0.25">
      <c r="A9" s="16">
        <v>5</v>
      </c>
      <c r="B9" s="93">
        <v>1.2124899493301371</v>
      </c>
      <c r="C9" s="44">
        <v>0.94226244334937326</v>
      </c>
      <c r="D9" s="44">
        <v>0.75383395731892822</v>
      </c>
      <c r="E9" s="44">
        <v>0.61537231904878487</v>
      </c>
      <c r="F9" s="44">
        <v>0.50913778156746159</v>
      </c>
      <c r="G9" s="44">
        <v>0.42548357406212917</v>
      </c>
      <c r="H9" s="44">
        <v>0.3584562736819481</v>
      </c>
      <c r="I9" s="44">
        <v>0.30325467658758037</v>
      </c>
      <c r="J9" s="44">
        <v>0.25748309322948892</v>
      </c>
      <c r="K9" s="44">
        <v>0.21910776593689543</v>
      </c>
      <c r="L9" s="44">
        <v>0.18649526685728227</v>
      </c>
      <c r="M9" s="44">
        <v>0.15861762018723388</v>
      </c>
      <c r="N9" s="44">
        <v>0.13461474086738956</v>
      </c>
      <c r="O9" s="44">
        <v>0.11375904625285661</v>
      </c>
      <c r="P9" s="44">
        <v>9.5707674168974022E-2</v>
      </c>
      <c r="Q9" s="44">
        <v>7.9968462276578903E-2</v>
      </c>
      <c r="R9" s="44">
        <v>6.6217663907427324E-2</v>
      </c>
      <c r="S9" s="44">
        <v>5.4188027510395552E-2</v>
      </c>
      <c r="T9" s="44">
        <v>4.3667694417271072E-2</v>
      </c>
      <c r="U9" s="44">
        <v>3.4481695070573755E-2</v>
      </c>
      <c r="V9" s="44">
        <v>2.6485781799899633E-2</v>
      </c>
      <c r="W9" s="44">
        <v>1.9565112784183415E-2</v>
      </c>
      <c r="X9" s="44">
        <v>1.363553039974983E-2</v>
      </c>
      <c r="Y9" s="44">
        <v>8.6266026146521527E-3</v>
      </c>
      <c r="Z9" s="44">
        <v>4.5096272243858931E-3</v>
      </c>
      <c r="AA9" s="94">
        <v>1.3407368821427687E-3</v>
      </c>
    </row>
    <row r="10" spans="1:27" ht="15.75" thickBot="1" x14ac:dyDescent="0.3">
      <c r="A10" s="16">
        <v>0</v>
      </c>
      <c r="B10" s="95">
        <v>2.1011963413300641</v>
      </c>
      <c r="C10" s="96">
        <v>1.5437363115573393</v>
      </c>
      <c r="D10" s="96">
        <v>1.1876033835897566</v>
      </c>
      <c r="E10" s="96">
        <v>0.94553804570924616</v>
      </c>
      <c r="F10" s="96">
        <v>0.77056215804158046</v>
      </c>
      <c r="G10" s="96">
        <v>0.63862687963376508</v>
      </c>
      <c r="H10" s="96">
        <v>0.53469099906239637</v>
      </c>
      <c r="I10" s="96">
        <v>0.45349341306672569</v>
      </c>
      <c r="J10" s="96">
        <v>0.3869818791254</v>
      </c>
      <c r="K10" s="96">
        <v>0.33123640885084499</v>
      </c>
      <c r="L10" s="96">
        <v>0.28501822607518795</v>
      </c>
      <c r="M10" s="96">
        <v>0.24570288690446657</v>
      </c>
      <c r="N10" s="96">
        <v>0.2120920469514723</v>
      </c>
      <c r="O10" s="96">
        <v>0.18307005047443431</v>
      </c>
      <c r="P10" s="96">
        <v>0.15787713219288529</v>
      </c>
      <c r="Q10" s="96">
        <v>0.13590230595054617</v>
      </c>
      <c r="R10" s="96">
        <v>0.11672531758208726</v>
      </c>
      <c r="S10" s="96">
        <v>9.9760163278424477E-2</v>
      </c>
      <c r="T10" s="96">
        <v>8.4836896886650665E-2</v>
      </c>
      <c r="U10" s="96">
        <v>7.163973586012784E-2</v>
      </c>
      <c r="V10" s="96">
        <v>5.9993965206374719E-2</v>
      </c>
      <c r="W10" s="96">
        <v>4.9687374662446611E-2</v>
      </c>
      <c r="X10" s="96">
        <v>4.0549059737435784E-2</v>
      </c>
      <c r="Y10" s="96">
        <v>3.2485476518810341E-2</v>
      </c>
      <c r="Z10" s="96">
        <v>2.5387306710426043E-2</v>
      </c>
      <c r="AA10" s="97">
        <v>1.9177996313217E-2</v>
      </c>
    </row>
    <row r="11" spans="1:27" ht="15.75" thickTop="1" x14ac:dyDescent="0.25"/>
  </sheetData>
  <phoneticPr fontId="12" type="noConversion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5"/>
  <sheetViews>
    <sheetView workbookViewId="0">
      <selection activeCell="B22" sqref="B22"/>
    </sheetView>
  </sheetViews>
  <sheetFormatPr defaultRowHeight="15" x14ac:dyDescent="0.25"/>
  <sheetData>
    <row r="2" spans="1:2" x14ac:dyDescent="0.25">
      <c r="A2">
        <v>0.75</v>
      </c>
      <c r="B2">
        <v>18.95</v>
      </c>
    </row>
    <row r="3" spans="1:2" x14ac:dyDescent="0.25">
      <c r="A3">
        <v>0.74</v>
      </c>
      <c r="B3">
        <v>20.350000000000001</v>
      </c>
    </row>
    <row r="4" spans="1:2" x14ac:dyDescent="0.25">
      <c r="A4">
        <v>0.72</v>
      </c>
      <c r="B4">
        <v>23.83</v>
      </c>
    </row>
    <row r="5" spans="1:2" x14ac:dyDescent="0.25">
      <c r="A5">
        <v>0.7</v>
      </c>
      <c r="B5">
        <v>28.63</v>
      </c>
    </row>
    <row r="6" spans="1:2" x14ac:dyDescent="0.25">
      <c r="A6">
        <v>0.68</v>
      </c>
      <c r="B6">
        <v>35.549999999999997</v>
      </c>
    </row>
    <row r="7" spans="1:2" x14ac:dyDescent="0.25">
      <c r="A7">
        <v>0.66</v>
      </c>
      <c r="B7">
        <v>45.95</v>
      </c>
    </row>
    <row r="8" spans="1:2" x14ac:dyDescent="0.25">
      <c r="A8">
        <v>0.64</v>
      </c>
      <c r="B8">
        <v>61.84</v>
      </c>
    </row>
    <row r="9" spans="1:2" x14ac:dyDescent="0.25">
      <c r="A9">
        <v>0.62</v>
      </c>
      <c r="B9">
        <v>84.11</v>
      </c>
    </row>
    <row r="10" spans="1:2" x14ac:dyDescent="0.25">
      <c r="A10">
        <v>0.6</v>
      </c>
      <c r="B10">
        <v>90</v>
      </c>
    </row>
    <row r="11" spans="1:2" x14ac:dyDescent="0.25">
      <c r="A11">
        <v>0.57999999999999996</v>
      </c>
      <c r="B11">
        <v>90</v>
      </c>
    </row>
    <row r="12" spans="1:2" x14ac:dyDescent="0.25">
      <c r="A12">
        <v>0.56000000000000005</v>
      </c>
      <c r="B12">
        <v>90</v>
      </c>
    </row>
    <row r="13" spans="1:2" x14ac:dyDescent="0.25">
      <c r="A13">
        <v>0.54</v>
      </c>
      <c r="B13">
        <v>90</v>
      </c>
    </row>
    <row r="14" spans="1:2" x14ac:dyDescent="0.25">
      <c r="A14">
        <v>0.52</v>
      </c>
      <c r="B14">
        <v>90</v>
      </c>
    </row>
    <row r="15" spans="1:2" x14ac:dyDescent="0.25">
      <c r="A15">
        <v>0.5</v>
      </c>
      <c r="B15">
        <v>90</v>
      </c>
    </row>
    <row r="16" spans="1:2" x14ac:dyDescent="0.25">
      <c r="A16">
        <v>0.48</v>
      </c>
      <c r="B16">
        <v>90</v>
      </c>
    </row>
    <row r="17" spans="1:2" x14ac:dyDescent="0.25">
      <c r="A17">
        <v>0.46</v>
      </c>
      <c r="B17">
        <v>90</v>
      </c>
    </row>
    <row r="18" spans="1:2" x14ac:dyDescent="0.25">
      <c r="A18">
        <v>0.44</v>
      </c>
      <c r="B18">
        <v>90</v>
      </c>
    </row>
    <row r="19" spans="1:2" x14ac:dyDescent="0.25">
      <c r="A19">
        <v>0.42</v>
      </c>
      <c r="B19">
        <v>90</v>
      </c>
    </row>
    <row r="20" spans="1:2" x14ac:dyDescent="0.25">
      <c r="A20">
        <v>0.4</v>
      </c>
      <c r="B20">
        <v>90</v>
      </c>
    </row>
    <row r="21" spans="1:2" x14ac:dyDescent="0.25">
      <c r="A21">
        <v>0.38</v>
      </c>
      <c r="B21">
        <v>88.57</v>
      </c>
    </row>
    <row r="22" spans="1:2" x14ac:dyDescent="0.25">
      <c r="A22">
        <v>0.36</v>
      </c>
      <c r="B22">
        <v>83.65</v>
      </c>
    </row>
    <row r="23" spans="1:2" x14ac:dyDescent="0.25">
      <c r="A23">
        <v>0.34</v>
      </c>
      <c r="B23">
        <v>73.56</v>
      </c>
    </row>
    <row r="24" spans="1:2" x14ac:dyDescent="0.25">
      <c r="A24">
        <v>0.32</v>
      </c>
      <c r="B24">
        <v>58.93</v>
      </c>
    </row>
    <row r="25" spans="1:2" x14ac:dyDescent="0.25">
      <c r="A25">
        <v>0.3</v>
      </c>
      <c r="B25">
        <v>37.090000000000003</v>
      </c>
    </row>
  </sheetData>
  <phoneticPr fontId="12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2"/>
  <sheetViews>
    <sheetView workbookViewId="0">
      <pane xSplit="1" ySplit="1" topLeftCell="B2" activePane="bottomRight" state="frozen"/>
      <selection activeCell="B22" sqref="B22"/>
      <selection pane="topRight" activeCell="B22" sqref="B22"/>
      <selection pane="bottomLeft" activeCell="B22" sqref="B22"/>
      <selection pane="bottomRight" activeCell="B22" sqref="B22"/>
    </sheetView>
  </sheetViews>
  <sheetFormatPr defaultRowHeight="15" x14ac:dyDescent="0.25"/>
  <cols>
    <col min="46" max="46" width="9.5703125" bestFit="1" customWidth="1"/>
    <col min="53" max="53" width="12" bestFit="1" customWidth="1"/>
  </cols>
  <sheetData>
    <row r="1" spans="1:72" x14ac:dyDescent="0.25">
      <c r="A1" t="s">
        <v>69</v>
      </c>
      <c r="W1" t="s">
        <v>119</v>
      </c>
      <c r="AL1">
        <v>1</v>
      </c>
      <c r="AM1">
        <v>4</v>
      </c>
      <c r="AN1">
        <v>2</v>
      </c>
      <c r="AO1">
        <v>4</v>
      </c>
      <c r="AP1">
        <v>1</v>
      </c>
      <c r="AR1">
        <v>0</v>
      </c>
      <c r="AV1" s="15">
        <f>'Profile Calcs'!B30+Inputs!B3</f>
        <v>-0.97983685593378311</v>
      </c>
      <c r="AX1" s="19">
        <f>AR1+0</f>
        <v>0</v>
      </c>
      <c r="BA1" t="s">
        <v>234</v>
      </c>
    </row>
    <row r="2" spans="1:72" s="165" customFormat="1" x14ac:dyDescent="0.25">
      <c r="A2">
        <f>'Section Calcs'!A27</f>
        <v>20</v>
      </c>
      <c r="B2" s="166">
        <f>'Section Calcs'!V26</f>
        <v>3.9920961237765931</v>
      </c>
      <c r="C2" s="166">
        <f>'Section Calcs'!W26</f>
        <v>4.0006897524762408</v>
      </c>
      <c r="D2" s="166">
        <f>'Section Calcs'!X26</f>
        <v>4.0178770098755363</v>
      </c>
      <c r="E2" s="166">
        <f>'Section Calcs'!Y26</f>
        <v>4.0350642672748318</v>
      </c>
      <c r="F2" s="166">
        <f>'Section Calcs'!Z26</f>
        <v>4.0522515246741273</v>
      </c>
      <c r="G2" s="166">
        <f>'Section Calcs'!AA26</f>
        <v>4.0780324107730701</v>
      </c>
      <c r="H2" s="166">
        <f>'Section Calcs'!AB26</f>
        <v>4.1210005542713084</v>
      </c>
      <c r="I2" s="166">
        <f>'Section Calcs'!AC26</f>
        <v>4.1639686977695476</v>
      </c>
      <c r="J2" s="166">
        <f>'Section Calcs'!AD26</f>
        <v>4.2499049847660242</v>
      </c>
      <c r="K2" s="166">
        <f>'Section Calcs'!AE26</f>
        <v>4.3358412717625017</v>
      </c>
      <c r="L2" s="166">
        <f>'Section Calcs'!AF26</f>
        <v>4.4217775587589783</v>
      </c>
      <c r="M2" s="166">
        <f>'Section Calcs'!AG26</f>
        <v>4.5077138457554558</v>
      </c>
      <c r="N2" s="166">
        <f>'Section Calcs'!AH26</f>
        <v>4.5936501327519323</v>
      </c>
      <c r="O2" s="166">
        <f>'Section Calcs'!AI26</f>
        <v>4.6795864197484098</v>
      </c>
      <c r="P2" s="166">
        <f>'Section Calcs'!AJ26</f>
        <v>4.7655227067448864</v>
      </c>
      <c r="Q2" s="166">
        <f>'Section Calcs'!AK26</f>
        <v>4.8514589937413639</v>
      </c>
      <c r="R2" s="166">
        <f>'Section Calcs'!AL26</f>
        <v>6.0019944988356464</v>
      </c>
      <c r="S2" s="166">
        <f>'Section Calcs'!AM26</f>
        <v>7.1525300039299289</v>
      </c>
      <c r="T2" s="166">
        <f>'Section Calcs'!AN26</f>
        <v>8.3030655090242114</v>
      </c>
      <c r="U2" s="166">
        <f>'Section Calcs'!AO26</f>
        <v>9.4536010141184939</v>
      </c>
      <c r="W2" s="164">
        <f>'Section Calcs'!V29</f>
        <v>0</v>
      </c>
      <c r="X2" s="167">
        <f>'Section Calcs'!W29</f>
        <v>5.2937166452104896E-2</v>
      </c>
      <c r="Y2" s="167">
        <f>'Section Calcs'!X29</f>
        <v>0.16544872632776214</v>
      </c>
      <c r="Z2" s="167">
        <f>'Section Calcs'!Y29</f>
        <v>0.2859545022834683</v>
      </c>
      <c r="AA2" s="167">
        <f>'Section Calcs'!Z29</f>
        <v>0.41345969721352932</v>
      </c>
      <c r="AB2" s="167">
        <f>'Section Calcs'!AA29</f>
        <v>0.61575445675841423</v>
      </c>
      <c r="AC2" s="167">
        <f>'Section Calcs'!AB29</f>
        <v>0.97484699466596947</v>
      </c>
      <c r="AD2" s="167">
        <f>'Section Calcs'!AC29</f>
        <v>1.3500947272724113</v>
      </c>
      <c r="AE2" s="167">
        <f>'Section Calcs'!AD29</f>
        <v>2.103583621772787</v>
      </c>
      <c r="AF2" s="167">
        <f>'Section Calcs'!AE29</f>
        <v>2.7994316308926606</v>
      </c>
      <c r="AG2" s="167">
        <f>'Section Calcs'!AF29</f>
        <v>3.3834969256674712</v>
      </c>
      <c r="AH2" s="167">
        <f>'Section Calcs'!AG29</f>
        <v>3.8242853575349827</v>
      </c>
      <c r="AI2" s="167">
        <f>'Section Calcs'!AH29</f>
        <v>4.1129504583352805</v>
      </c>
      <c r="AJ2" s="167">
        <f>'Section Calcs'!AI29</f>
        <v>4.2632934403107807</v>
      </c>
      <c r="AK2" s="167">
        <f>'Section Calcs'!AJ29</f>
        <v>4.3117631961061811</v>
      </c>
      <c r="AL2" s="167">
        <f>'Section Calcs'!AK29</f>
        <v>4.3174562987685938</v>
      </c>
      <c r="AM2" s="167">
        <f>'Section Calcs'!AL29</f>
        <v>4.4193017708410149</v>
      </c>
      <c r="AN2" s="167">
        <f>'Section Calcs'!AM29</f>
        <v>4.4660287061590669</v>
      </c>
      <c r="AO2" s="167">
        <f>'Section Calcs'!AN29</f>
        <v>4.4576371047227505</v>
      </c>
      <c r="AP2" s="167">
        <f>'Section Calcs'!AO29</f>
        <v>4.394126966532065</v>
      </c>
      <c r="AR2" s="168">
        <f>($AL$1*AL2+$AM$1*AM2+$AN$1*AN2+$AO$1*AO2+$AP$1*AP2)/3*($R2-$Q2)*2</f>
        <v>40.76837896685165</v>
      </c>
      <c r="AS2" s="165">
        <v>1</v>
      </c>
      <c r="AT2" s="168">
        <f>AR2*AS2</f>
        <v>40.76837896685165</v>
      </c>
      <c r="AV2" s="171">
        <f>Inputs!$B$3/20*(20-A2)</f>
        <v>0</v>
      </c>
      <c r="AX2" s="168">
        <f>AR2+'Cp Calcs'!D18</f>
        <v>45.746844908350333</v>
      </c>
      <c r="AZ2" s="168">
        <f>A2/$A$2</f>
        <v>1</v>
      </c>
      <c r="BA2" s="166">
        <f>AL2</f>
        <v>4.3174562987685938</v>
      </c>
      <c r="BB2" s="165">
        <v>1</v>
      </c>
      <c r="BC2" s="165">
        <f>BA2*BB2</f>
        <v>4.3174562987685938</v>
      </c>
      <c r="BE2" s="165">
        <v>1</v>
      </c>
      <c r="BF2" s="165">
        <f>'Cp Calcs'!D18</f>
        <v>4.9784659414986825</v>
      </c>
      <c r="BG2" s="165">
        <f>BE2*BF2</f>
        <v>4.9784659414986825</v>
      </c>
      <c r="BR2" s="165">
        <v>1</v>
      </c>
      <c r="BS2" s="165">
        <f>'Cp Calcs'!D18</f>
        <v>4.9784659414986825</v>
      </c>
      <c r="BT2" s="165">
        <f>BR2*BS2</f>
        <v>4.9784659414986825</v>
      </c>
    </row>
    <row r="3" spans="1:72" s="165" customFormat="1" x14ac:dyDescent="0.25">
      <c r="A3">
        <f>'Section Calcs'!A33</f>
        <v>19</v>
      </c>
      <c r="B3" s="166">
        <f>'Section Calcs'!V32</f>
        <v>3.2501121381991185</v>
      </c>
      <c r="C3" s="166">
        <f>'Section Calcs'!W32</f>
        <v>3.266125606754541</v>
      </c>
      <c r="D3" s="166">
        <f>'Section Calcs'!X32</f>
        <v>3.298152543865386</v>
      </c>
      <c r="E3" s="166">
        <f>'Section Calcs'!Y32</f>
        <v>3.3301794809762306</v>
      </c>
      <c r="F3" s="166">
        <f>'Section Calcs'!Z32</f>
        <v>3.3622064180870757</v>
      </c>
      <c r="G3" s="166">
        <f>'Section Calcs'!AA32</f>
        <v>3.4102468237533432</v>
      </c>
      <c r="H3" s="166">
        <f>'Section Calcs'!AB32</f>
        <v>3.4903141665304553</v>
      </c>
      <c r="I3" s="166">
        <f>'Section Calcs'!AC32</f>
        <v>3.5703815093075675</v>
      </c>
      <c r="J3" s="166">
        <f>'Section Calcs'!AD32</f>
        <v>3.7305161948617922</v>
      </c>
      <c r="K3" s="166">
        <f>'Section Calcs'!AE32</f>
        <v>3.8906508804160165</v>
      </c>
      <c r="L3" s="166">
        <f>'Section Calcs'!AF32</f>
        <v>4.0507855659702408</v>
      </c>
      <c r="M3" s="166">
        <f>'Section Calcs'!AG32</f>
        <v>4.2109202515244659</v>
      </c>
      <c r="N3" s="166">
        <f>'Section Calcs'!AH32</f>
        <v>4.3710549370786902</v>
      </c>
      <c r="O3" s="166">
        <f>'Section Calcs'!AI32</f>
        <v>4.5311896226329145</v>
      </c>
      <c r="P3" s="166">
        <f>'Section Calcs'!AJ32</f>
        <v>4.6913243081871396</v>
      </c>
      <c r="Q3" s="166">
        <f>'Section Calcs'!AK32</f>
        <v>4.8514589937413639</v>
      </c>
      <c r="R3" s="166">
        <f>'Section Calcs'!AL32</f>
        <v>5.9896851881849322</v>
      </c>
      <c r="S3" s="166">
        <f>'Section Calcs'!AM32</f>
        <v>7.1279113826284997</v>
      </c>
      <c r="T3" s="166">
        <f>'Section Calcs'!AN32</f>
        <v>8.2661375770720671</v>
      </c>
      <c r="U3" s="166">
        <f>'Section Calcs'!AO32</f>
        <v>9.4043637715156354</v>
      </c>
      <c r="W3" s="164">
        <f>'Section Calcs'!V35</f>
        <v>0</v>
      </c>
      <c r="X3" s="167">
        <f>'Section Calcs'!W35</f>
        <v>4.8388364445049466E-2</v>
      </c>
      <c r="Y3" s="167">
        <f>'Section Calcs'!X35</f>
        <v>0.15447795553391994</v>
      </c>
      <c r="Z3" s="167">
        <f>'Section Calcs'!Y35</f>
        <v>0.27188146294275328</v>
      </c>
      <c r="AA3" s="167">
        <f>'Section Calcs'!Z35</f>
        <v>0.39931563862409036</v>
      </c>
      <c r="AB3" s="167">
        <f>'Section Calcs'!AA35</f>
        <v>0.60658157723434158</v>
      </c>
      <c r="AC3" s="167">
        <f>'Section Calcs'!AB35</f>
        <v>0.98531933859008525</v>
      </c>
      <c r="AD3" s="167">
        <f>'Section Calcs'!AC35</f>
        <v>1.3911276662351226</v>
      </c>
      <c r="AE3" s="167">
        <f>'Section Calcs'!AD35</f>
        <v>2.2251573148426997</v>
      </c>
      <c r="AF3" s="167">
        <f>'Section Calcs'!AE35</f>
        <v>3.0092123470544858</v>
      </c>
      <c r="AG3" s="167">
        <f>'Section Calcs'!AF35</f>
        <v>3.6728573630249404</v>
      </c>
      <c r="AH3" s="167">
        <f>'Section Calcs'!AG35</f>
        <v>4.1746797390655823</v>
      </c>
      <c r="AI3" s="167">
        <f>'Section Calcs'!AH35</f>
        <v>4.5022896276449833</v>
      </c>
      <c r="AJ3" s="167">
        <f>'Section Calcs'!AI35</f>
        <v>4.672319957388769</v>
      </c>
      <c r="AK3" s="167">
        <f>'Section Calcs'!AJ35</f>
        <v>4.7304264330795851</v>
      </c>
      <c r="AL3" s="167">
        <f>'Section Calcs'!AK35</f>
        <v>4.7512875356572248</v>
      </c>
      <c r="AM3" s="167">
        <f>'Section Calcs'!AL35</f>
        <v>4.9467879594941753</v>
      </c>
      <c r="AN3" s="167">
        <f>'Section Calcs'!AM35</f>
        <v>5.044449322894426</v>
      </c>
      <c r="AO3" s="167">
        <f>'Section Calcs'!AN35</f>
        <v>5.0442716258579754</v>
      </c>
      <c r="AP3" s="167">
        <f>'Section Calcs'!AO35</f>
        <v>4.9462548683848251</v>
      </c>
      <c r="AR3" s="168">
        <f t="shared" ref="AR3:AR22" si="0">($AL$1*AL3+$AM$1*AM3+$AN$1*AN3+$AO$1*AO3+$AP$1*AP3)/3*($R3-$Q3)*2</f>
        <v>45.339858945938857</v>
      </c>
      <c r="AS3" s="165">
        <v>4</v>
      </c>
      <c r="AT3" s="168">
        <f t="shared" ref="AT3:AT22" si="1">AR3*AS3</f>
        <v>181.35943578375543</v>
      </c>
      <c r="AV3" s="171">
        <f>Inputs!$B$3/20*(20-A3)</f>
        <v>6.3246769080712024</v>
      </c>
      <c r="AX3" s="168">
        <f>AR3+'Cp Calcs'!D19</f>
        <v>55.395290104382148</v>
      </c>
      <c r="AZ3" s="168">
        <f t="shared" ref="AZ3:AZ11" si="2">A3/$A$2</f>
        <v>0.95</v>
      </c>
      <c r="BA3" s="166">
        <f t="shared" ref="BA3:BA11" si="3">AL3</f>
        <v>4.7512875356572248</v>
      </c>
      <c r="BB3" s="165">
        <v>4</v>
      </c>
      <c r="BC3" s="165">
        <f t="shared" ref="BC3:BC12" si="4">BA3*BB3</f>
        <v>19.005150142628899</v>
      </c>
      <c r="BE3" s="165">
        <v>4</v>
      </c>
      <c r="BF3" s="165">
        <f>'Cp Calcs'!D19</f>
        <v>10.055431158443291</v>
      </c>
      <c r="BG3" s="165">
        <f t="shared" ref="BG3:BG12" si="5">BE3*BF3</f>
        <v>40.221724633773164</v>
      </c>
      <c r="BR3" s="165">
        <v>4</v>
      </c>
      <c r="BS3" s="165">
        <f>'Cp Calcs'!D19</f>
        <v>10.055431158443291</v>
      </c>
      <c r="BT3" s="165">
        <f t="shared" ref="BT3:BT22" si="6">BR3*BS3</f>
        <v>40.221724633773164</v>
      </c>
    </row>
    <row r="4" spans="1:72" s="165" customFormat="1" x14ac:dyDescent="0.25">
      <c r="A4">
        <f>'Section Calcs'!A39</f>
        <v>18</v>
      </c>
      <c r="B4" s="166">
        <f>'Section Calcs'!V38</f>
        <v>2.5220602308173645</v>
      </c>
      <c r="C4" s="166">
        <f>'Section Calcs'!W38</f>
        <v>2.5453542184466045</v>
      </c>
      <c r="D4" s="166">
        <f>'Section Calcs'!X38</f>
        <v>2.5919421937050844</v>
      </c>
      <c r="E4" s="166">
        <f>'Section Calcs'!Y38</f>
        <v>2.6385301689635643</v>
      </c>
      <c r="F4" s="166">
        <f>'Section Calcs'!Z38</f>
        <v>2.6851181442220446</v>
      </c>
      <c r="G4" s="166">
        <f>'Section Calcs'!AA38</f>
        <v>2.7550001071097645</v>
      </c>
      <c r="H4" s="166">
        <f>'Section Calcs'!AB38</f>
        <v>2.8714700452559643</v>
      </c>
      <c r="I4" s="166">
        <f>'Section Calcs'!AC38</f>
        <v>2.9879399834021645</v>
      </c>
      <c r="J4" s="166">
        <f>'Section Calcs'!AD38</f>
        <v>3.2208798596945645</v>
      </c>
      <c r="K4" s="166">
        <f>'Section Calcs'!AE38</f>
        <v>3.4538197359869645</v>
      </c>
      <c r="L4" s="166">
        <f>'Section Calcs'!AF38</f>
        <v>3.6867596122793644</v>
      </c>
      <c r="M4" s="166">
        <f>'Section Calcs'!AG38</f>
        <v>3.919699488571764</v>
      </c>
      <c r="N4" s="166">
        <f>'Section Calcs'!AH38</f>
        <v>4.1526393648641644</v>
      </c>
      <c r="O4" s="166">
        <f>'Section Calcs'!AI38</f>
        <v>4.3855792411565639</v>
      </c>
      <c r="P4" s="166">
        <f>'Section Calcs'!AJ38</f>
        <v>4.6185191174489635</v>
      </c>
      <c r="Q4" s="166">
        <f>'Section Calcs'!AK38</f>
        <v>4.8514589937413639</v>
      </c>
      <c r="R4" s="166">
        <f>'Section Calcs'!AL38</f>
        <v>5.9773759150470989</v>
      </c>
      <c r="S4" s="166">
        <f>'Section Calcs'!AM38</f>
        <v>7.1032928363528338</v>
      </c>
      <c r="T4" s="166">
        <f>'Section Calcs'!AN38</f>
        <v>8.2292097576585697</v>
      </c>
      <c r="U4" s="166">
        <f>'Section Calcs'!AO38</f>
        <v>9.3551266789643037</v>
      </c>
      <c r="W4" s="164">
        <f>'Section Calcs'!V41</f>
        <v>0</v>
      </c>
      <c r="X4" s="167">
        <f>'Section Calcs'!W41</f>
        <v>7.0158490027806206E-2</v>
      </c>
      <c r="Y4" s="167">
        <f>'Section Calcs'!X41</f>
        <v>0.21745205342341509</v>
      </c>
      <c r="Z4" s="167">
        <f>'Section Calcs'!Y41</f>
        <v>0.37305788242557142</v>
      </c>
      <c r="AA4" s="167">
        <f>'Section Calcs'!Z41</f>
        <v>0.5358264788287801</v>
      </c>
      <c r="AB4" s="167">
        <f>'Section Calcs'!AA41</f>
        <v>0.79100279989097455</v>
      </c>
      <c r="AC4" s="167">
        <f>'Section Calcs'!AB41</f>
        <v>1.2370712307679004</v>
      </c>
      <c r="AD4" s="167">
        <f>'Section Calcs'!AC41</f>
        <v>1.6962102074745526</v>
      </c>
      <c r="AE4" s="167">
        <f>'Section Calcs'!AD41</f>
        <v>2.6020406982823925</v>
      </c>
      <c r="AF4" s="167">
        <f>'Section Calcs'!AE41</f>
        <v>3.422281612590325</v>
      </c>
      <c r="AG4" s="167">
        <f>'Section Calcs'!AF41</f>
        <v>4.0980891554183438</v>
      </c>
      <c r="AH4" s="167">
        <f>'Section Calcs'!AG41</f>
        <v>4.5979883965306128</v>
      </c>
      <c r="AI4" s="167">
        <f>'Section Calcs'!AH41</f>
        <v>4.9178732704354671</v>
      </c>
      <c r="AJ4" s="167">
        <f>'Section Calcs'!AI41</f>
        <v>5.0810065763854126</v>
      </c>
      <c r="AK4" s="167">
        <f>'Section Calcs'!AJ41</f>
        <v>5.1380199783770877</v>
      </c>
      <c r="AL4" s="167">
        <f>'Section Calcs'!AK41</f>
        <v>5.1669140051513978</v>
      </c>
      <c r="AM4" s="167">
        <f>'Section Calcs'!AL41</f>
        <v>5.3591453077745523</v>
      </c>
      <c r="AN4" s="167">
        <f>'Section Calcs'!AM41</f>
        <v>5.474947420612696</v>
      </c>
      <c r="AO4" s="167">
        <f>'Section Calcs'!AN41</f>
        <v>5.5143203436658315</v>
      </c>
      <c r="AP4" s="167">
        <f>'Section Calcs'!AO41</f>
        <v>5.4772640769339551</v>
      </c>
      <c r="AR4" s="168">
        <f t="shared" si="0"/>
        <v>48.855738656692822</v>
      </c>
      <c r="AS4" s="165">
        <v>2</v>
      </c>
      <c r="AT4" s="168">
        <f t="shared" si="1"/>
        <v>97.711477313385643</v>
      </c>
      <c r="AV4" s="171">
        <f>Inputs!$B$3/20*(20-A4)</f>
        <v>12.649353816142405</v>
      </c>
      <c r="AX4" s="168">
        <f>AR4+'Cp Calcs'!D20</f>
        <v>65.153055601487466</v>
      </c>
      <c r="AZ4" s="168">
        <f t="shared" si="2"/>
        <v>0.9</v>
      </c>
      <c r="BA4" s="166">
        <f t="shared" si="3"/>
        <v>5.1669140051513978</v>
      </c>
      <c r="BB4" s="165">
        <v>2</v>
      </c>
      <c r="BC4" s="165">
        <f t="shared" si="4"/>
        <v>10.333828010302796</v>
      </c>
      <c r="BE4" s="165">
        <v>2</v>
      </c>
      <c r="BF4" s="165">
        <f>'Cp Calcs'!D20</f>
        <v>16.297316944794641</v>
      </c>
      <c r="BG4" s="165">
        <f t="shared" si="5"/>
        <v>32.594633889589282</v>
      </c>
      <c r="BR4" s="165">
        <v>2</v>
      </c>
      <c r="BS4" s="165">
        <f>'Cp Calcs'!D20</f>
        <v>16.297316944794641</v>
      </c>
      <c r="BT4" s="165">
        <f t="shared" si="6"/>
        <v>32.594633889589282</v>
      </c>
    </row>
    <row r="5" spans="1:72" s="165" customFormat="1" x14ac:dyDescent="0.25">
      <c r="A5">
        <f>'Section Calcs'!A45</f>
        <v>17</v>
      </c>
      <c r="B5" s="166">
        <f>'Section Calcs'!V44</f>
        <v>1.822392570788296</v>
      </c>
      <c r="C5" s="166">
        <f>'Section Calcs'!W44</f>
        <v>1.8526832350178266</v>
      </c>
      <c r="D5" s="166">
        <f>'Section Calcs'!X44</f>
        <v>1.9132645634768881</v>
      </c>
      <c r="E5" s="166">
        <f>'Section Calcs'!Y44</f>
        <v>1.9738458919359494</v>
      </c>
      <c r="F5" s="166">
        <f>'Section Calcs'!Z44</f>
        <v>2.0344272203950107</v>
      </c>
      <c r="G5" s="166">
        <f>'Section Calcs'!AA44</f>
        <v>2.1252992130836028</v>
      </c>
      <c r="H5" s="166">
        <f>'Section Calcs'!AB44</f>
        <v>2.2767525342312562</v>
      </c>
      <c r="I5" s="166">
        <f>'Section Calcs'!AC44</f>
        <v>2.4282058553789096</v>
      </c>
      <c r="J5" s="166">
        <f>'Section Calcs'!AD44</f>
        <v>2.731112497674216</v>
      </c>
      <c r="K5" s="166">
        <f>'Section Calcs'!AE44</f>
        <v>3.0340191399695233</v>
      </c>
      <c r="L5" s="166">
        <f>'Section Calcs'!AF44</f>
        <v>3.3369257822648297</v>
      </c>
      <c r="M5" s="166">
        <f>'Section Calcs'!AG44</f>
        <v>3.6398324245601366</v>
      </c>
      <c r="N5" s="166">
        <f>'Section Calcs'!AH44</f>
        <v>3.9427390668554434</v>
      </c>
      <c r="O5" s="166">
        <f>'Section Calcs'!AI44</f>
        <v>4.2456457091507502</v>
      </c>
      <c r="P5" s="166">
        <f>'Section Calcs'!AJ44</f>
        <v>4.5485523514460571</v>
      </c>
      <c r="Q5" s="166">
        <f>'Section Calcs'!AK44</f>
        <v>4.8514589937413639</v>
      </c>
      <c r="R5" s="166">
        <f>'Section Calcs'!AL44</f>
        <v>5.9650665258665985</v>
      </c>
      <c r="S5" s="166">
        <f>'Section Calcs'!AM44</f>
        <v>7.078674057991833</v>
      </c>
      <c r="T5" s="166">
        <f>'Section Calcs'!AN44</f>
        <v>8.1922815901170676</v>
      </c>
      <c r="U5" s="166">
        <f>'Section Calcs'!AO44</f>
        <v>9.3058891222423021</v>
      </c>
      <c r="W5" s="164">
        <f>'Section Calcs'!V47</f>
        <v>0</v>
      </c>
      <c r="X5" s="167">
        <f>'Section Calcs'!W47</f>
        <v>8.804020579233697E-2</v>
      </c>
      <c r="Y5" s="167">
        <f>'Section Calcs'!X47</f>
        <v>0.26923778478322219</v>
      </c>
      <c r="Z5" s="167">
        <f>'Section Calcs'!Y47</f>
        <v>0.45637151278810661</v>
      </c>
      <c r="AA5" s="167">
        <f>'Section Calcs'!Z47</f>
        <v>0.64841270590986111</v>
      </c>
      <c r="AB5" s="167">
        <f>'Section Calcs'!AA47</f>
        <v>0.94352532360668073</v>
      </c>
      <c r="AC5" s="167">
        <f>'Section Calcs'!AB47</f>
        <v>1.4464946570633774</v>
      </c>
      <c r="AD5" s="167">
        <f>'Section Calcs'!AC47</f>
        <v>1.9518933241948586</v>
      </c>
      <c r="AE5" s="167">
        <f>'Section Calcs'!AD47</f>
        <v>2.9243368357738184</v>
      </c>
      <c r="AF5" s="167">
        <f>'Section Calcs'!AE47</f>
        <v>3.7853780752168924</v>
      </c>
      <c r="AG5" s="167">
        <f>'Section Calcs'!AF47</f>
        <v>4.4848286422614541</v>
      </c>
      <c r="AH5" s="167">
        <f>'Section Calcs'!AG47</f>
        <v>4.9977895195089221</v>
      </c>
      <c r="AI5" s="167">
        <f>'Section Calcs'!AH47</f>
        <v>5.3246510724247642</v>
      </c>
      <c r="AJ5" s="167">
        <f>'Section Calcs'!AI47</f>
        <v>5.4910930493384935</v>
      </c>
      <c r="AK5" s="167">
        <f>'Section Calcs'!AJ47</f>
        <v>5.5480845814436295</v>
      </c>
      <c r="AL5" s="167">
        <f>'Section Calcs'!AK47</f>
        <v>5.5718841827978496</v>
      </c>
      <c r="AM5" s="167">
        <f>'Section Calcs'!AL47</f>
        <v>5.7030009954231096</v>
      </c>
      <c r="AN5" s="167">
        <f>'Section Calcs'!AM47</f>
        <v>5.8099926618499156</v>
      </c>
      <c r="AO5" s="167">
        <f>'Section Calcs'!AN47</f>
        <v>5.8928591820782641</v>
      </c>
      <c r="AP5" s="167">
        <f>'Section Calcs'!AO47</f>
        <v>5.9516005561081613</v>
      </c>
      <c r="AR5" s="168">
        <f t="shared" si="0"/>
        <v>51.617127681186055</v>
      </c>
      <c r="AS5" s="165">
        <v>4</v>
      </c>
      <c r="AT5" s="168">
        <f t="shared" si="1"/>
        <v>206.46851072474422</v>
      </c>
      <c r="AV5" s="171">
        <f>Inputs!$B$3/20*(20-A5)</f>
        <v>18.974030724213605</v>
      </c>
      <c r="AX5" s="168">
        <f>AR5+'Cp Calcs'!D21</f>
        <v>74.824155106418232</v>
      </c>
      <c r="AZ5" s="168">
        <f t="shared" si="2"/>
        <v>0.85</v>
      </c>
      <c r="BA5" s="166">
        <f t="shared" si="3"/>
        <v>5.5718841827978496</v>
      </c>
      <c r="BB5" s="165">
        <v>4</v>
      </c>
      <c r="BC5" s="165">
        <f t="shared" si="4"/>
        <v>22.287536731191398</v>
      </c>
      <c r="BE5" s="165">
        <v>4</v>
      </c>
      <c r="BF5" s="165">
        <f>'Cp Calcs'!D21</f>
        <v>23.20702742523217</v>
      </c>
      <c r="BG5" s="165">
        <f t="shared" si="5"/>
        <v>92.828109700928678</v>
      </c>
      <c r="BR5" s="165">
        <v>4</v>
      </c>
      <c r="BS5" s="165">
        <f>'Cp Calcs'!D21</f>
        <v>23.20702742523217</v>
      </c>
      <c r="BT5" s="165">
        <f t="shared" si="6"/>
        <v>92.828109700928678</v>
      </c>
    </row>
    <row r="6" spans="1:72" s="165" customFormat="1" x14ac:dyDescent="0.25">
      <c r="A6">
        <f>'Section Calcs'!A51</f>
        <v>16</v>
      </c>
      <c r="B6" s="166">
        <f>'Section Calcs'!V50</f>
        <v>1.1870490124574347</v>
      </c>
      <c r="C6" s="166">
        <f>'Section Calcs'!W50</f>
        <v>1.2236931122702739</v>
      </c>
      <c r="D6" s="166">
        <f>'Section Calcs'!X50</f>
        <v>1.2969813118959526</v>
      </c>
      <c r="E6" s="166">
        <f>'Section Calcs'!Y50</f>
        <v>1.3702695115216312</v>
      </c>
      <c r="F6" s="166">
        <f>'Section Calcs'!Z50</f>
        <v>1.4435577111473097</v>
      </c>
      <c r="G6" s="166">
        <f>'Section Calcs'!AA50</f>
        <v>1.5534900105858276</v>
      </c>
      <c r="H6" s="166">
        <f>'Section Calcs'!AB50</f>
        <v>1.7367105096500239</v>
      </c>
      <c r="I6" s="166">
        <f>'Section Calcs'!AC50</f>
        <v>1.9199310087142205</v>
      </c>
      <c r="J6" s="166">
        <f>'Section Calcs'!AD50</f>
        <v>2.2863720068426137</v>
      </c>
      <c r="K6" s="166">
        <f>'Section Calcs'!AE50</f>
        <v>2.6528130049710064</v>
      </c>
      <c r="L6" s="166">
        <f>'Section Calcs'!AF50</f>
        <v>3.0192540030993991</v>
      </c>
      <c r="M6" s="166">
        <f>'Section Calcs'!AG50</f>
        <v>3.3856950012277922</v>
      </c>
      <c r="N6" s="166">
        <f>'Section Calcs'!AH50</f>
        <v>3.7521359993561849</v>
      </c>
      <c r="O6" s="166">
        <f>'Section Calcs'!AI50</f>
        <v>4.1185769974845776</v>
      </c>
      <c r="P6" s="166">
        <f>'Section Calcs'!AJ50</f>
        <v>4.4850179956129708</v>
      </c>
      <c r="Q6" s="166">
        <f>'Section Calcs'!AK50</f>
        <v>4.8514589937413639</v>
      </c>
      <c r="R6" s="166">
        <f>'Section Calcs'!AL50</f>
        <v>5.9527575044260921</v>
      </c>
      <c r="S6" s="166">
        <f>'Section Calcs'!AM50</f>
        <v>7.0540560151108211</v>
      </c>
      <c r="T6" s="166">
        <f>'Section Calcs'!AN50</f>
        <v>8.1553545257955502</v>
      </c>
      <c r="U6" s="166">
        <f>'Section Calcs'!AO50</f>
        <v>9.2566530364802784</v>
      </c>
      <c r="W6" s="164">
        <f>'Section Calcs'!V53</f>
        <v>0</v>
      </c>
      <c r="X6" s="167">
        <f>'Section Calcs'!W53</f>
        <v>0.10208689805996866</v>
      </c>
      <c r="Y6" s="167">
        <f>'Section Calcs'!X53</f>
        <v>0.31001397090694477</v>
      </c>
      <c r="Z6" s="167">
        <f>'Section Calcs'!Y53</f>
        <v>0.52214686961074364</v>
      </c>
      <c r="AA6" s="167">
        <f>'Section Calcs'!Z53</f>
        <v>0.73755949835285617</v>
      </c>
      <c r="AB6" s="167">
        <f>'Section Calcs'!AA53</f>
        <v>1.0648925392002133</v>
      </c>
      <c r="AC6" s="167">
        <f>'Section Calcs'!AB53</f>
        <v>1.614771633996865</v>
      </c>
      <c r="AD6" s="167">
        <f>'Section Calcs'!AC53</f>
        <v>2.1597543112186832</v>
      </c>
      <c r="AE6" s="167">
        <f>'Section Calcs'!AD53</f>
        <v>3.1940887017573534</v>
      </c>
      <c r="AF6" s="167">
        <f>'Section Calcs'!AE53</f>
        <v>4.1003676083505454</v>
      </c>
      <c r="AG6" s="167">
        <f>'Section Calcs'!AF53</f>
        <v>4.8340314403649538</v>
      </c>
      <c r="AH6" s="167">
        <f>'Section Calcs'!AG53</f>
        <v>5.373489118999653</v>
      </c>
      <c r="AI6" s="167">
        <f>'Section Calcs'!AH53</f>
        <v>5.720118077286096</v>
      </c>
      <c r="AJ6" s="167">
        <f>'Section Calcs'!AI53</f>
        <v>5.8982642600881148</v>
      </c>
      <c r="AK6" s="167">
        <f>'Section Calcs'!AJ53</f>
        <v>5.955242124101872</v>
      </c>
      <c r="AL6" s="167">
        <f>'Section Calcs'!AK53</f>
        <v>5.9613346378560355</v>
      </c>
      <c r="AM6" s="167">
        <f>'Section Calcs'!AL53</f>
        <v>6.0078110847665283</v>
      </c>
      <c r="AN6" s="167">
        <f>'Section Calcs'!AM53</f>
        <v>6.0882168120116846</v>
      </c>
      <c r="AO6" s="167">
        <f>'Section Calcs'!AN53</f>
        <v>6.2025518195915028</v>
      </c>
      <c r="AP6" s="167">
        <f>'Section Calcs'!AO53</f>
        <v>6.3508161075059864</v>
      </c>
      <c r="AR6" s="168">
        <f t="shared" si="0"/>
        <v>53.838839613826437</v>
      </c>
      <c r="AS6" s="165">
        <v>2</v>
      </c>
      <c r="AT6" s="168">
        <f t="shared" si="1"/>
        <v>107.67767922765287</v>
      </c>
      <c r="AV6" s="171">
        <f>Inputs!$B$3/20*(20-A6)</f>
        <v>25.29870763228481</v>
      </c>
      <c r="AX6" s="168">
        <f>AR6+'Cp Calcs'!D22</f>
        <v>84.154441993193259</v>
      </c>
      <c r="AZ6" s="168">
        <f t="shared" si="2"/>
        <v>0.8</v>
      </c>
      <c r="BA6" s="166">
        <f t="shared" si="3"/>
        <v>5.9613346378560355</v>
      </c>
      <c r="BB6" s="165">
        <v>2</v>
      </c>
      <c r="BC6" s="165">
        <f t="shared" si="4"/>
        <v>11.922669275712071</v>
      </c>
      <c r="BE6" s="165">
        <v>2</v>
      </c>
      <c r="BF6" s="165">
        <f>'Cp Calcs'!D22</f>
        <v>30.315602379366823</v>
      </c>
      <c r="BG6" s="165">
        <f t="shared" si="5"/>
        <v>60.631204758733645</v>
      </c>
      <c r="BR6" s="165">
        <v>2</v>
      </c>
      <c r="BS6" s="165">
        <f>'Cp Calcs'!D22</f>
        <v>30.315602379366823</v>
      </c>
      <c r="BT6" s="165">
        <f t="shared" si="6"/>
        <v>60.631204758733645</v>
      </c>
    </row>
    <row r="7" spans="1:72" s="165" customFormat="1" x14ac:dyDescent="0.25">
      <c r="A7">
        <f>'Section Calcs'!A57</f>
        <v>15</v>
      </c>
      <c r="B7" s="166">
        <f>'Section Calcs'!V56</f>
        <v>0.68797988774569951</v>
      </c>
      <c r="C7" s="166">
        <f>'Section Calcs'!W56</f>
        <v>0.72961467880565611</v>
      </c>
      <c r="D7" s="166">
        <f>'Section Calcs'!X56</f>
        <v>0.81288426092556942</v>
      </c>
      <c r="E7" s="166">
        <f>'Section Calcs'!Y56</f>
        <v>0.89615384304548273</v>
      </c>
      <c r="F7" s="166">
        <f>'Section Calcs'!Z56</f>
        <v>0.97942342516539604</v>
      </c>
      <c r="G7" s="166">
        <f>'Section Calcs'!AA56</f>
        <v>1.104327798345266</v>
      </c>
      <c r="H7" s="166">
        <f>'Section Calcs'!AB56</f>
        <v>1.3125017536450492</v>
      </c>
      <c r="I7" s="166">
        <f>'Section Calcs'!AC56</f>
        <v>1.5206757089448324</v>
      </c>
      <c r="J7" s="166">
        <f>'Section Calcs'!AD56</f>
        <v>1.9370236195443988</v>
      </c>
      <c r="K7" s="166">
        <f>'Section Calcs'!AE56</f>
        <v>2.3533715301439653</v>
      </c>
      <c r="L7" s="166">
        <f>'Section Calcs'!AF56</f>
        <v>2.7697194407435317</v>
      </c>
      <c r="M7" s="166">
        <f>'Section Calcs'!AG56</f>
        <v>3.1860673513430982</v>
      </c>
      <c r="N7" s="166">
        <f>'Section Calcs'!AH56</f>
        <v>3.6024152619426646</v>
      </c>
      <c r="O7" s="166">
        <f>'Section Calcs'!AI56</f>
        <v>4.018763172542231</v>
      </c>
      <c r="P7" s="166">
        <f>'Section Calcs'!AJ56</f>
        <v>4.4351110831417975</v>
      </c>
      <c r="Q7" s="166">
        <f>'Section Calcs'!AK56</f>
        <v>4.8514589937413639</v>
      </c>
      <c r="R7" s="166">
        <f>'Section Calcs'!AL56</f>
        <v>5.9404473434502805</v>
      </c>
      <c r="S7" s="166">
        <f>'Section Calcs'!AM56</f>
        <v>7.029435693159197</v>
      </c>
      <c r="T7" s="166">
        <f>'Section Calcs'!AN56</f>
        <v>8.1184240428681136</v>
      </c>
      <c r="U7" s="166">
        <f>'Section Calcs'!AO56</f>
        <v>9.2074123925770301</v>
      </c>
      <c r="W7" s="164">
        <f>'Section Calcs'!V59</f>
        <v>0</v>
      </c>
      <c r="X7" s="167">
        <f>'Section Calcs'!W59</f>
        <v>0.12475018330222053</v>
      </c>
      <c r="Y7" s="167">
        <f>'Section Calcs'!X59</f>
        <v>0.37510746987603932</v>
      </c>
      <c r="Z7" s="167">
        <f>'Section Calcs'!Y59</f>
        <v>0.62598766347586121</v>
      </c>
      <c r="AA7" s="167">
        <f>'Section Calcs'!Z59</f>
        <v>0.87667410151392333</v>
      </c>
      <c r="AB7" s="167">
        <f>'Section Calcs'!AA59</f>
        <v>1.2508484826033388</v>
      </c>
      <c r="AC7" s="167">
        <f>'Section Calcs'!AB59</f>
        <v>1.8642258835748</v>
      </c>
      <c r="AD7" s="167">
        <f>'Section Calcs'!AC59</f>
        <v>2.4569651199057132</v>
      </c>
      <c r="AE7" s="167">
        <f>'Section Calcs'!AD59</f>
        <v>3.5499192493232425</v>
      </c>
      <c r="AF7" s="167">
        <f>'Section Calcs'!AE59</f>
        <v>4.4805094454416183</v>
      </c>
      <c r="AG7" s="167">
        <f>'Section Calcs'!AF59</f>
        <v>5.2187635200160916</v>
      </c>
      <c r="AH7" s="167">
        <f>'Section Calcs'!AG59</f>
        <v>5.7539385219714818</v>
      </c>
      <c r="AI7" s="167">
        <f>'Section Calcs'!AH59</f>
        <v>6.0945207374021839</v>
      </c>
      <c r="AJ7" s="167">
        <f>'Section Calcs'!AI59</f>
        <v>6.2682256895721569</v>
      </c>
      <c r="AK7" s="167">
        <f>'Section Calcs'!AJ59</f>
        <v>6.3219981389148883</v>
      </c>
      <c r="AL7" s="167">
        <f>'Section Calcs'!AK59</f>
        <v>6.3220120830335524</v>
      </c>
      <c r="AM7" s="167">
        <f>'Section Calcs'!AL59</f>
        <v>6.2868789083023771</v>
      </c>
      <c r="AN7" s="167">
        <f>'Section Calcs'!AM59</f>
        <v>6.3326985013917305</v>
      </c>
      <c r="AO7" s="167">
        <f>'Section Calcs'!AN59</f>
        <v>6.459470862301611</v>
      </c>
      <c r="AP7" s="167">
        <f>'Section Calcs'!AO59</f>
        <v>6.6671959910320213</v>
      </c>
      <c r="AR7" s="168">
        <f t="shared" si="0"/>
        <v>55.640047767388317</v>
      </c>
      <c r="AS7" s="165">
        <v>4</v>
      </c>
      <c r="AT7" s="168">
        <f t="shared" si="1"/>
        <v>222.56019106955327</v>
      </c>
      <c r="AV7" s="171">
        <f>Inputs!$B$3/20*(20-A7)</f>
        <v>31.623384540356014</v>
      </c>
      <c r="AX7" s="168">
        <f>AR7+'Cp Calcs'!D23</f>
        <v>92.828877455675709</v>
      </c>
      <c r="AZ7" s="168">
        <f t="shared" si="2"/>
        <v>0.75</v>
      </c>
      <c r="BA7" s="166">
        <f t="shared" si="3"/>
        <v>6.3220120830335524</v>
      </c>
      <c r="BB7" s="165">
        <v>4</v>
      </c>
      <c r="BC7" s="165">
        <f t="shared" si="4"/>
        <v>25.28804833213421</v>
      </c>
      <c r="BE7" s="165">
        <v>4</v>
      </c>
      <c r="BF7" s="165">
        <f>'Cp Calcs'!D23</f>
        <v>37.188829688287392</v>
      </c>
      <c r="BG7" s="165">
        <f t="shared" si="5"/>
        <v>148.75531875314957</v>
      </c>
      <c r="BR7" s="165">
        <v>4</v>
      </c>
      <c r="BS7" s="165">
        <f>'Cp Calcs'!D23</f>
        <v>37.188829688287392</v>
      </c>
      <c r="BT7" s="165">
        <f t="shared" si="6"/>
        <v>148.75531875314957</v>
      </c>
    </row>
    <row r="8" spans="1:72" s="165" customFormat="1" x14ac:dyDescent="0.25">
      <c r="A8">
        <f>'Section Calcs'!A63</f>
        <v>14</v>
      </c>
      <c r="B8" s="166">
        <f>'Section Calcs'!V62</f>
        <v>0.32480778077737416</v>
      </c>
      <c r="C8" s="166">
        <f>'Section Calcs'!W62</f>
        <v>0.37007429290701405</v>
      </c>
      <c r="D8" s="166">
        <f>'Section Calcs'!X62</f>
        <v>0.46060731716629388</v>
      </c>
      <c r="E8" s="166">
        <f>'Section Calcs'!Y62</f>
        <v>0.55114034142557367</v>
      </c>
      <c r="F8" s="166">
        <f>'Section Calcs'!Z62</f>
        <v>0.64167336568485345</v>
      </c>
      <c r="G8" s="166">
        <f>'Section Calcs'!AA62</f>
        <v>0.77747290207377318</v>
      </c>
      <c r="H8" s="166">
        <f>'Section Calcs'!AB62</f>
        <v>1.0038054627219726</v>
      </c>
      <c r="I8" s="166">
        <f>'Section Calcs'!AC62</f>
        <v>1.2301380233701722</v>
      </c>
      <c r="J8" s="166">
        <f>'Section Calcs'!AD62</f>
        <v>1.682803144666571</v>
      </c>
      <c r="K8" s="166">
        <f>'Section Calcs'!AE62</f>
        <v>2.1354682659629702</v>
      </c>
      <c r="L8" s="166">
        <f>'Section Calcs'!AF62</f>
        <v>2.588133387259369</v>
      </c>
      <c r="M8" s="166">
        <f>'Section Calcs'!AG62</f>
        <v>3.0407985085557678</v>
      </c>
      <c r="N8" s="166">
        <f>'Section Calcs'!AH62</f>
        <v>3.4934636298521666</v>
      </c>
      <c r="O8" s="166">
        <f>'Section Calcs'!AI62</f>
        <v>3.9461287511485663</v>
      </c>
      <c r="P8" s="166">
        <f>'Section Calcs'!AJ62</f>
        <v>4.3987938724449647</v>
      </c>
      <c r="Q8" s="166">
        <f>'Section Calcs'!AK62</f>
        <v>4.8514589937413639</v>
      </c>
      <c r="R8" s="166">
        <f>'Section Calcs'!AL62</f>
        <v>5.9281405899156017</v>
      </c>
      <c r="S8" s="166">
        <f>'Section Calcs'!AM62</f>
        <v>7.0048221860898394</v>
      </c>
      <c r="T8" s="166">
        <f>'Section Calcs'!AN62</f>
        <v>8.0815037822640772</v>
      </c>
      <c r="U8" s="166">
        <f>'Section Calcs'!AO62</f>
        <v>9.1581853784383149</v>
      </c>
      <c r="W8" s="164">
        <f>'Section Calcs'!V65</f>
        <v>0</v>
      </c>
      <c r="X8" s="167">
        <f>'Section Calcs'!W65</f>
        <v>0.19038952026832795</v>
      </c>
      <c r="Y8" s="167">
        <f>'Section Calcs'!X65</f>
        <v>0.5572262850790074</v>
      </c>
      <c r="Z8" s="167">
        <f>'Section Calcs'!Y65</f>
        <v>0.90627820954820826</v>
      </c>
      <c r="AA8" s="167">
        <f>'Section Calcs'!Z65</f>
        <v>1.2384535796070997</v>
      </c>
      <c r="AB8" s="167">
        <f>'Section Calcs'!AA65</f>
        <v>1.7069115535751389</v>
      </c>
      <c r="AC8" s="167">
        <f>'Section Calcs'!AB65</f>
        <v>2.4145285209136733</v>
      </c>
      <c r="AD8" s="167">
        <f>'Section Calcs'!AC65</f>
        <v>3.0398219621256741</v>
      </c>
      <c r="AE8" s="167">
        <f>'Section Calcs'!AD65</f>
        <v>4.078598230510269</v>
      </c>
      <c r="AF8" s="167">
        <f>'Section Calcs'!AE65</f>
        <v>4.8818779922571665</v>
      </c>
      <c r="AG8" s="167">
        <f>'Section Calcs'!AF65</f>
        <v>5.4936836812499967</v>
      </c>
      <c r="AH8" s="167">
        <f>'Section Calcs'!AG65</f>
        <v>5.9477089168865716</v>
      </c>
      <c r="AI8" s="167">
        <f>'Section Calcs'!AH65</f>
        <v>6.2701799255594999</v>
      </c>
      <c r="AJ8" s="167">
        <f>'Section Calcs'!AI65</f>
        <v>6.4818156512080227</v>
      </c>
      <c r="AK8" s="167">
        <f>'Section Calcs'!AJ65</f>
        <v>6.5992012522373464</v>
      </c>
      <c r="AL8" s="167">
        <f>'Section Calcs'!AK65</f>
        <v>6.6357700730737044</v>
      </c>
      <c r="AM8" s="167">
        <f>'Section Calcs'!AL65</f>
        <v>6.5417224195955015</v>
      </c>
      <c r="AN8" s="167">
        <f>'Section Calcs'!AM65</f>
        <v>6.5545155872620544</v>
      </c>
      <c r="AO8" s="167">
        <f>'Section Calcs'!AN65</f>
        <v>6.674149576073364</v>
      </c>
      <c r="AP8" s="167">
        <f>'Section Calcs'!AO65</f>
        <v>6.9006243860294267</v>
      </c>
      <c r="AR8" s="168">
        <f t="shared" si="0"/>
        <v>57.070522681653578</v>
      </c>
      <c r="AS8" s="165">
        <v>2</v>
      </c>
      <c r="AT8" s="168">
        <f t="shared" si="1"/>
        <v>114.14104536330716</v>
      </c>
      <c r="AV8" s="171">
        <f>Inputs!$B$3/20*(20-A8)</f>
        <v>37.948061448427211</v>
      </c>
      <c r="AX8" s="168">
        <f>AR8+'Cp Calcs'!D24</f>
        <v>100.50438046276057</v>
      </c>
      <c r="AZ8" s="168">
        <f t="shared" si="2"/>
        <v>0.7</v>
      </c>
      <c r="BA8" s="166">
        <f t="shared" si="3"/>
        <v>6.6357700730737044</v>
      </c>
      <c r="BB8" s="165">
        <v>2</v>
      </c>
      <c r="BC8" s="165">
        <f t="shared" si="4"/>
        <v>13.271540146147409</v>
      </c>
      <c r="BE8" s="165">
        <v>2</v>
      </c>
      <c r="BF8" s="165">
        <f>'Cp Calcs'!D24</f>
        <v>43.433857781106987</v>
      </c>
      <c r="BG8" s="165">
        <f t="shared" si="5"/>
        <v>86.867715562213974</v>
      </c>
      <c r="BR8" s="165">
        <v>2</v>
      </c>
      <c r="BS8" s="165">
        <f>'Cp Calcs'!D24</f>
        <v>43.433857781106987</v>
      </c>
      <c r="BT8" s="165">
        <f t="shared" si="6"/>
        <v>86.867715562213974</v>
      </c>
    </row>
    <row r="9" spans="1:72" s="165" customFormat="1" x14ac:dyDescent="0.25">
      <c r="A9">
        <f>'Section Calcs'!A69</f>
        <v>13</v>
      </c>
      <c r="B9" s="166">
        <f>'Section Calcs'!V68</f>
        <v>0.10022341115138911</v>
      </c>
      <c r="C9" s="166">
        <f>'Section Calcs'!W68</f>
        <v>0.14773576697728885</v>
      </c>
      <c r="D9" s="166">
        <f>'Section Calcs'!X68</f>
        <v>0.24276047862908834</v>
      </c>
      <c r="E9" s="166">
        <f>'Section Calcs'!Y68</f>
        <v>0.33778519028088783</v>
      </c>
      <c r="F9" s="166">
        <f>'Section Calcs'!Z68</f>
        <v>0.43280990193268737</v>
      </c>
      <c r="G9" s="166">
        <f>'Section Calcs'!AA68</f>
        <v>0.57534696941038654</v>
      </c>
      <c r="H9" s="166">
        <f>'Section Calcs'!AB68</f>
        <v>0.81290874853988526</v>
      </c>
      <c r="I9" s="166">
        <f>'Section Calcs'!AC68</f>
        <v>1.050470527669384</v>
      </c>
      <c r="J9" s="166">
        <f>'Section Calcs'!AD68</f>
        <v>1.5255940859283814</v>
      </c>
      <c r="K9" s="166">
        <f>'Section Calcs'!AE68</f>
        <v>2.0007176441873789</v>
      </c>
      <c r="L9" s="166">
        <f>'Section Calcs'!AF68</f>
        <v>2.4758412024463765</v>
      </c>
      <c r="M9" s="166">
        <f>'Section Calcs'!AG68</f>
        <v>2.9509647607053737</v>
      </c>
      <c r="N9" s="166">
        <f>'Section Calcs'!AH68</f>
        <v>3.4260883189643714</v>
      </c>
      <c r="O9" s="166">
        <f>'Section Calcs'!AI68</f>
        <v>3.901211877223369</v>
      </c>
      <c r="P9" s="166">
        <f>'Section Calcs'!AJ68</f>
        <v>4.3763354354823667</v>
      </c>
      <c r="Q9" s="166">
        <f>'Section Calcs'!AK68</f>
        <v>4.8514589937413639</v>
      </c>
      <c r="R9" s="166">
        <f>'Section Calcs'!AL68</f>
        <v>5.9158241806935772</v>
      </c>
      <c r="S9" s="166">
        <f>'Section Calcs'!AM68</f>
        <v>6.9801893676457905</v>
      </c>
      <c r="T9" s="166">
        <f>'Section Calcs'!AN68</f>
        <v>8.0445545545980046</v>
      </c>
      <c r="U9" s="166">
        <f>'Section Calcs'!AO68</f>
        <v>9.108919741550217</v>
      </c>
      <c r="W9" s="164">
        <f>'Section Calcs'!V71</f>
        <v>0</v>
      </c>
      <c r="X9" s="167">
        <f>'Section Calcs'!W71</f>
        <v>0.23147072826309903</v>
      </c>
      <c r="Y9" s="167">
        <f>'Section Calcs'!X71</f>
        <v>0.67152389363127696</v>
      </c>
      <c r="Z9" s="167">
        <f>'Section Calcs'!Y71</f>
        <v>1.0830837141222645</v>
      </c>
      <c r="AA9" s="167">
        <f>'Section Calcs'!Z71</f>
        <v>1.4683596726643315</v>
      </c>
      <c r="AB9" s="167">
        <f>'Section Calcs'!AA71</f>
        <v>2.0012834142248481</v>
      </c>
      <c r="AC9" s="167">
        <f>'Section Calcs'!AB71</f>
        <v>2.7835682692985122</v>
      </c>
      <c r="AD9" s="167">
        <f>'Section Calcs'!AC71</f>
        <v>3.4524966098553262</v>
      </c>
      <c r="AE9" s="167">
        <f>'Section Calcs'!AD71</f>
        <v>4.5180431511949317</v>
      </c>
      <c r="AF9" s="167">
        <f>'Section Calcs'!AE71</f>
        <v>5.3027469262578313</v>
      </c>
      <c r="AG9" s="167">
        <f>'Section Calcs'!AF71</f>
        <v>5.876599552323464</v>
      </c>
      <c r="AH9" s="167">
        <f>'Section Calcs'!AG71</f>
        <v>6.288118807457856</v>
      </c>
      <c r="AI9" s="167">
        <f>'Section Calcs'!AH71</f>
        <v>6.5719973383642332</v>
      </c>
      <c r="AJ9" s="167">
        <f>'Section Calcs'!AI71</f>
        <v>6.7536995269223912</v>
      </c>
      <c r="AK9" s="167">
        <f>'Section Calcs'!AJ71</f>
        <v>6.8523385689872871</v>
      </c>
      <c r="AL9" s="167">
        <f>'Section Calcs'!AK71</f>
        <v>6.8825403521952069</v>
      </c>
      <c r="AM9" s="167">
        <f>'Section Calcs'!AL71</f>
        <v>6.7643808102871965</v>
      </c>
      <c r="AN9" s="167">
        <f>'Section Calcs'!AM71</f>
        <v>6.7538348463499638</v>
      </c>
      <c r="AO9" s="167">
        <f>'Section Calcs'!AN71</f>
        <v>6.8509024603835087</v>
      </c>
      <c r="AP9" s="167">
        <f>'Section Calcs'!AO71</f>
        <v>7.0555836523878313</v>
      </c>
      <c r="AR9" s="168">
        <f t="shared" si="0"/>
        <v>58.119254289893028</v>
      </c>
      <c r="AS9" s="165">
        <v>4</v>
      </c>
      <c r="AT9" s="168">
        <f t="shared" si="1"/>
        <v>232.47701715957211</v>
      </c>
      <c r="AV9" s="171">
        <f>Inputs!$B$3/20*(20-A9)</f>
        <v>44.272738356498415</v>
      </c>
      <c r="AX9" s="168">
        <f>AR9+'Cp Calcs'!D25</f>
        <v>106.8250623714023</v>
      </c>
      <c r="AZ9" s="168">
        <f t="shared" si="2"/>
        <v>0.65</v>
      </c>
      <c r="BA9" s="166">
        <f t="shared" si="3"/>
        <v>6.8825403521952069</v>
      </c>
      <c r="BB9" s="165">
        <v>4</v>
      </c>
      <c r="BC9" s="165">
        <f t="shared" si="4"/>
        <v>27.530161408780828</v>
      </c>
      <c r="BE9" s="165">
        <v>4</v>
      </c>
      <c r="BF9" s="165">
        <f>'Cp Calcs'!D25</f>
        <v>48.705808081509268</v>
      </c>
      <c r="BG9" s="165">
        <f t="shared" si="5"/>
        <v>194.82323232603707</v>
      </c>
      <c r="BR9" s="165">
        <v>4</v>
      </c>
      <c r="BS9" s="165">
        <f>'Cp Calcs'!D25</f>
        <v>48.705808081509268</v>
      </c>
      <c r="BT9" s="165">
        <f t="shared" si="6"/>
        <v>194.82323232603707</v>
      </c>
    </row>
    <row r="10" spans="1:72" s="165" customFormat="1" x14ac:dyDescent="0.25">
      <c r="A10">
        <f>'Section Calcs'!A75</f>
        <v>12</v>
      </c>
      <c r="B10" s="166">
        <f>'Section Calcs'!V74</f>
        <v>1.1197446890085949E-2</v>
      </c>
      <c r="C10" s="166">
        <f>'Section Calcs'!W74</f>
        <v>5.9600062358598729E-2</v>
      </c>
      <c r="D10" s="166">
        <f>'Section Calcs'!X74</f>
        <v>0.15640529329562428</v>
      </c>
      <c r="E10" s="166">
        <f>'Section Calcs'!Y74</f>
        <v>0.25321052423264989</v>
      </c>
      <c r="F10" s="166">
        <f>'Section Calcs'!Z74</f>
        <v>0.35001575516967542</v>
      </c>
      <c r="G10" s="166">
        <f>'Section Calcs'!AA74</f>
        <v>0.49522360157521378</v>
      </c>
      <c r="H10" s="166">
        <f>'Section Calcs'!AB74</f>
        <v>0.73723667891777767</v>
      </c>
      <c r="I10" s="166">
        <f>'Section Calcs'!AC74</f>
        <v>0.97924975626034161</v>
      </c>
      <c r="J10" s="166">
        <f>'Section Calcs'!AD74</f>
        <v>1.4632759109454694</v>
      </c>
      <c r="K10" s="166">
        <f>'Section Calcs'!AE74</f>
        <v>1.9473020656305973</v>
      </c>
      <c r="L10" s="166">
        <f>'Section Calcs'!AF74</f>
        <v>2.4313282203157249</v>
      </c>
      <c r="M10" s="166">
        <f>'Section Calcs'!AG74</f>
        <v>2.9153543750008528</v>
      </c>
      <c r="N10" s="166">
        <f>'Section Calcs'!AH74</f>
        <v>3.3993805296859803</v>
      </c>
      <c r="O10" s="166">
        <f>'Section Calcs'!AI74</f>
        <v>3.8834066843711086</v>
      </c>
      <c r="P10" s="166">
        <f>'Section Calcs'!AJ74</f>
        <v>4.367432839056236</v>
      </c>
      <c r="Q10" s="166">
        <f>'Section Calcs'!AK74</f>
        <v>4.8514589937413639</v>
      </c>
      <c r="R10" s="166">
        <f>'Section Calcs'!AL74</f>
        <v>5.9035327691977448</v>
      </c>
      <c r="S10" s="166">
        <f>'Section Calcs'!AM74</f>
        <v>6.9556065446541258</v>
      </c>
      <c r="T10" s="166">
        <f>'Section Calcs'!AN74</f>
        <v>8.0076803201105058</v>
      </c>
      <c r="U10" s="166">
        <f>'Section Calcs'!AO74</f>
        <v>9.0597540955668876</v>
      </c>
      <c r="W10" s="164">
        <f>'Section Calcs'!V77</f>
        <v>0</v>
      </c>
      <c r="X10" s="167">
        <f>'Section Calcs'!W77</f>
        <v>0.29673874731372168</v>
      </c>
      <c r="Y10" s="167">
        <f>'Section Calcs'!X77</f>
        <v>0.84762916965164448</v>
      </c>
      <c r="Z10" s="167">
        <f>'Section Calcs'!Y77</f>
        <v>1.3476416600722154</v>
      </c>
      <c r="AA10" s="167">
        <f>'Section Calcs'!Z77</f>
        <v>1.8028716209221038</v>
      </c>
      <c r="AB10" s="167">
        <f>'Section Calcs'!AA77</f>
        <v>2.412822281225917</v>
      </c>
      <c r="AC10" s="167">
        <f>'Section Calcs'!AB77</f>
        <v>3.268489483956996</v>
      </c>
      <c r="AD10" s="167">
        <f>'Section Calcs'!AC77</f>
        <v>3.9644628756650735</v>
      </c>
      <c r="AE10" s="167">
        <f>'Section Calcs'!AD77</f>
        <v>5.0084368325525626</v>
      </c>
      <c r="AF10" s="167">
        <f>'Section Calcs'!AE77</f>
        <v>5.7280578632245298</v>
      </c>
      <c r="AG10" s="167">
        <f>'Section Calcs'!AF77</f>
        <v>6.2278642035327723</v>
      </c>
      <c r="AH10" s="167">
        <f>'Section Calcs'!AG77</f>
        <v>6.5718288590696341</v>
      </c>
      <c r="AI10" s="167">
        <f>'Section Calcs'!AH77</f>
        <v>6.8012958675668722</v>
      </c>
      <c r="AJ10" s="167">
        <f>'Section Calcs'!AI77</f>
        <v>6.9441729666729124</v>
      </c>
      <c r="AK10" s="167">
        <f>'Section Calcs'!AJ77</f>
        <v>7.0199797368229166</v>
      </c>
      <c r="AL10" s="167">
        <f>'Section Calcs'!AK77</f>
        <v>7.0427788503840265</v>
      </c>
      <c r="AM10" s="167">
        <f>'Section Calcs'!AL77</f>
        <v>6.9402745355749627</v>
      </c>
      <c r="AN10" s="167">
        <f>'Section Calcs'!AM77</f>
        <v>6.9220601408196778</v>
      </c>
      <c r="AO10" s="167">
        <f>'Section Calcs'!AN77</f>
        <v>6.9881356661181702</v>
      </c>
      <c r="AP10" s="167">
        <f>'Section Calcs'!AO77</f>
        <v>7.1385011114704451</v>
      </c>
      <c r="AR10" s="168">
        <f t="shared" si="0"/>
        <v>58.733099380567069</v>
      </c>
      <c r="AS10" s="165">
        <v>2</v>
      </c>
      <c r="AT10" s="168">
        <f t="shared" si="1"/>
        <v>117.46619876113414</v>
      </c>
      <c r="AV10" s="171">
        <f>Inputs!$B$3/20*(20-A10)</f>
        <v>50.597415264569619</v>
      </c>
      <c r="AX10" s="168">
        <f>AR10+'Cp Calcs'!D26</f>
        <v>111.44748683486196</v>
      </c>
      <c r="AZ10" s="168">
        <f t="shared" si="2"/>
        <v>0.6</v>
      </c>
      <c r="BA10" s="166">
        <f t="shared" si="3"/>
        <v>7.0427788503840265</v>
      </c>
      <c r="BB10" s="165">
        <v>2</v>
      </c>
      <c r="BC10" s="165">
        <f t="shared" si="4"/>
        <v>14.085557700768053</v>
      </c>
      <c r="BE10" s="165">
        <v>2</v>
      </c>
      <c r="BF10" s="165">
        <f>'Cp Calcs'!D26</f>
        <v>52.714387454294894</v>
      </c>
      <c r="BG10" s="165">
        <f t="shared" si="5"/>
        <v>105.42877490858979</v>
      </c>
      <c r="BR10" s="165">
        <v>2</v>
      </c>
      <c r="BS10" s="165">
        <f>'Cp Calcs'!D26</f>
        <v>52.714387454294894</v>
      </c>
      <c r="BT10" s="165">
        <f t="shared" si="6"/>
        <v>105.42877490858979</v>
      </c>
    </row>
    <row r="11" spans="1:72" s="165" customFormat="1" x14ac:dyDescent="0.25">
      <c r="A11">
        <f>'Section Calcs'!A81</f>
        <v>11</v>
      </c>
      <c r="B11" s="166">
        <f>'Section Calcs'!V80</f>
        <v>0</v>
      </c>
      <c r="C11" s="166">
        <f>'Section Calcs'!W80</f>
        <v>4.8514589937413644E-2</v>
      </c>
      <c r="D11" s="166">
        <f>'Section Calcs'!X80</f>
        <v>0.1455437698122409</v>
      </c>
      <c r="E11" s="166">
        <f>'Section Calcs'!Y80</f>
        <v>0.24257294968706822</v>
      </c>
      <c r="F11" s="166">
        <f>'Section Calcs'!Z80</f>
        <v>0.3396021295618955</v>
      </c>
      <c r="G11" s="166">
        <f>'Section Calcs'!AA80</f>
        <v>0.48514589937413644</v>
      </c>
      <c r="H11" s="166">
        <f>'Section Calcs'!AB80</f>
        <v>0.72771884906120454</v>
      </c>
      <c r="I11" s="166">
        <f>'Section Calcs'!AC80</f>
        <v>0.97029179874827287</v>
      </c>
      <c r="J11" s="166">
        <f>'Section Calcs'!AD80</f>
        <v>1.4554376981224091</v>
      </c>
      <c r="K11" s="166">
        <f>'Section Calcs'!AE80</f>
        <v>1.9405835974965457</v>
      </c>
      <c r="L11" s="166">
        <f>'Section Calcs'!AF80</f>
        <v>2.425729496870682</v>
      </c>
      <c r="M11" s="166">
        <f>'Section Calcs'!AG80</f>
        <v>2.9108753962448182</v>
      </c>
      <c r="N11" s="166">
        <f>'Section Calcs'!AH80</f>
        <v>3.3960212956189544</v>
      </c>
      <c r="O11" s="166">
        <f>'Section Calcs'!AI80</f>
        <v>3.8811671949930915</v>
      </c>
      <c r="P11" s="166">
        <f>'Section Calcs'!AJ80</f>
        <v>4.3663130943672277</v>
      </c>
      <c r="Q11" s="166">
        <f>'Section Calcs'!AK80</f>
        <v>4.8514589937413639</v>
      </c>
      <c r="R11" s="166">
        <f>'Section Calcs'!AL80</f>
        <v>5.8911876791823943</v>
      </c>
      <c r="S11" s="166">
        <f>'Section Calcs'!AM80</f>
        <v>6.9309163646234246</v>
      </c>
      <c r="T11" s="166">
        <f>'Section Calcs'!AN80</f>
        <v>7.970645050064455</v>
      </c>
      <c r="U11" s="166">
        <f>'Section Calcs'!AO80</f>
        <v>9.0103737355054854</v>
      </c>
      <c r="W11" s="164">
        <f>'Section Calcs'!V83</f>
        <v>0</v>
      </c>
      <c r="X11" s="167">
        <f>'Section Calcs'!W83</f>
        <v>0.38327691007826786</v>
      </c>
      <c r="Y11" s="167">
        <f>'Section Calcs'!X83</f>
        <v>1.0712072671753523</v>
      </c>
      <c r="Z11" s="167">
        <f>'Section Calcs'!Y83</f>
        <v>1.6703098366310154</v>
      </c>
      <c r="AA11" s="167">
        <f>'Section Calcs'!Z83</f>
        <v>2.1959206346143616</v>
      </c>
      <c r="AB11" s="167">
        <f>'Section Calcs'!AA83</f>
        <v>2.872089762380106</v>
      </c>
      <c r="AC11" s="167">
        <f>'Section Calcs'!AB83</f>
        <v>3.7697261666408775</v>
      </c>
      <c r="AD11" s="167">
        <f>'Section Calcs'!AC83</f>
        <v>4.4587562769922533</v>
      </c>
      <c r="AE11" s="167">
        <f>'Section Calcs'!AD83</f>
        <v>5.4277215995053592</v>
      </c>
      <c r="AF11" s="167">
        <f>'Section Calcs'!AE83</f>
        <v>6.0524959802283389</v>
      </c>
      <c r="AG11" s="167">
        <f>'Section Calcs'!AF83</f>
        <v>6.4658817401072417</v>
      </c>
      <c r="AH11" s="167">
        <f>'Section Calcs'!AG83</f>
        <v>6.7401463362568315</v>
      </c>
      <c r="AI11" s="167">
        <f>'Section Calcs'!AH83</f>
        <v>6.9179856571096687</v>
      </c>
      <c r="AJ11" s="167">
        <f>'Section Calcs'!AI83</f>
        <v>7.0262459945479785</v>
      </c>
      <c r="AK11" s="167">
        <f>'Section Calcs'!AJ83</f>
        <v>7.0826540838357497</v>
      </c>
      <c r="AL11" s="167">
        <f>'Section Calcs'!AK83</f>
        <v>7.0993863285373875</v>
      </c>
      <c r="AM11" s="167">
        <f>'Section Calcs'!AL83</f>
        <v>7.0505917104956772</v>
      </c>
      <c r="AN11" s="167">
        <f>'Section Calcs'!AM83</f>
        <v>7.0436921565934139</v>
      </c>
      <c r="AO11" s="167">
        <f>'Section Calcs'!AN83</f>
        <v>7.0786876668305974</v>
      </c>
      <c r="AP11" s="167">
        <f>'Section Calcs'!AO83</f>
        <v>7.1555782412072286</v>
      </c>
      <c r="AR11" s="168">
        <f t="shared" si="0"/>
        <v>58.820547626151587</v>
      </c>
      <c r="AS11" s="165">
        <v>4</v>
      </c>
      <c r="AT11" s="168">
        <f t="shared" si="1"/>
        <v>235.28219050460635</v>
      </c>
      <c r="AV11" s="171">
        <f>Inputs!$B$3/20*(20-A11)</f>
        <v>56.922092172640824</v>
      </c>
      <c r="AX11" s="168">
        <f>AR11+'Cp Calcs'!D27</f>
        <v>114.05104827807929</v>
      </c>
      <c r="AZ11" s="168">
        <f t="shared" si="2"/>
        <v>0.55000000000000004</v>
      </c>
      <c r="BA11" s="166">
        <f t="shared" si="3"/>
        <v>7.0993863285373875</v>
      </c>
      <c r="BB11" s="165">
        <v>4</v>
      </c>
      <c r="BC11" s="165">
        <f t="shared" si="4"/>
        <v>28.39754531414955</v>
      </c>
      <c r="BE11" s="165">
        <v>4</v>
      </c>
      <c r="BF11" s="165">
        <f>'Cp Calcs'!D27</f>
        <v>55.230500651927713</v>
      </c>
      <c r="BG11" s="165">
        <f t="shared" si="5"/>
        <v>220.92200260771085</v>
      </c>
      <c r="BR11" s="165">
        <v>4</v>
      </c>
      <c r="BS11" s="165">
        <f>'Cp Calcs'!D27</f>
        <v>55.230500651927713</v>
      </c>
      <c r="BT11" s="165">
        <f t="shared" si="6"/>
        <v>220.92200260771085</v>
      </c>
    </row>
    <row r="12" spans="1:72" s="165" customFormat="1" x14ac:dyDescent="0.25">
      <c r="A12">
        <f>'Section Calcs'!A87</f>
        <v>10</v>
      </c>
      <c r="B12" s="166">
        <f>'Section Calcs'!V86</f>
        <v>0</v>
      </c>
      <c r="C12" s="166">
        <f>'Section Calcs'!W86</f>
        <v>4.8514589937413644E-2</v>
      </c>
      <c r="D12" s="166">
        <f>'Section Calcs'!X86</f>
        <v>0.1455437698122409</v>
      </c>
      <c r="E12" s="166">
        <f>'Section Calcs'!Y86</f>
        <v>0.24257294968706822</v>
      </c>
      <c r="F12" s="166">
        <f>'Section Calcs'!Z86</f>
        <v>0.3396021295618955</v>
      </c>
      <c r="G12" s="166">
        <f>'Section Calcs'!AA86</f>
        <v>0.48514589937413644</v>
      </c>
      <c r="H12" s="166">
        <f>'Section Calcs'!AB86</f>
        <v>0.72771884906120454</v>
      </c>
      <c r="I12" s="166">
        <f>'Section Calcs'!AC86</f>
        <v>0.97029179874827287</v>
      </c>
      <c r="J12" s="166">
        <f>'Section Calcs'!AD86</f>
        <v>1.4554376981224091</v>
      </c>
      <c r="K12" s="166">
        <f>'Section Calcs'!AE86</f>
        <v>1.9405835974965457</v>
      </c>
      <c r="L12" s="166">
        <f>'Section Calcs'!AF86</f>
        <v>2.425729496870682</v>
      </c>
      <c r="M12" s="166">
        <f>'Section Calcs'!AG86</f>
        <v>2.9108753962448182</v>
      </c>
      <c r="N12" s="166">
        <f>'Section Calcs'!AH86</f>
        <v>3.3960212956189544</v>
      </c>
      <c r="O12" s="166">
        <f>'Section Calcs'!AI86</f>
        <v>3.8811671949930915</v>
      </c>
      <c r="P12" s="166">
        <f>'Section Calcs'!AJ86</f>
        <v>4.3663130943672277</v>
      </c>
      <c r="Q12" s="166">
        <f>'Section Calcs'!AK86</f>
        <v>4.8514589937413639</v>
      </c>
      <c r="R12" s="166">
        <f>'Section Calcs'!AL86</f>
        <v>5.8789014874420875</v>
      </c>
      <c r="S12" s="166">
        <f>'Section Calcs'!AM86</f>
        <v>6.9063439811428102</v>
      </c>
      <c r="T12" s="166">
        <f>'Section Calcs'!AN86</f>
        <v>7.9337864748435329</v>
      </c>
      <c r="U12" s="166">
        <f>'Section Calcs'!AO86</f>
        <v>8.9612289685442565</v>
      </c>
      <c r="W12" s="164">
        <f>'Section Calcs'!V89</f>
        <v>0</v>
      </c>
      <c r="X12" s="167">
        <f>'Section Calcs'!W89</f>
        <v>0.48722035761400562</v>
      </c>
      <c r="Y12" s="167">
        <f>'Section Calcs'!X89</f>
        <v>1.3209008727909985</v>
      </c>
      <c r="Z12" s="167">
        <f>'Section Calcs'!Y89</f>
        <v>2.0073208326207683</v>
      </c>
      <c r="AA12" s="167">
        <f>'Section Calcs'!Z89</f>
        <v>2.5815194313755394</v>
      </c>
      <c r="AB12" s="167">
        <f>'Section Calcs'!AA89</f>
        <v>3.2846025540624413</v>
      </c>
      <c r="AC12" s="167">
        <f>'Section Calcs'!AB89</f>
        <v>4.1615189796341889</v>
      </c>
      <c r="AD12" s="167">
        <f>'Section Calcs'!AC89</f>
        <v>4.795214031363737</v>
      </c>
      <c r="AE12" s="167">
        <f>'Section Calcs'!AD89</f>
        <v>5.6356020504387363</v>
      </c>
      <c r="AF12" s="167">
        <f>'Section Calcs'!AE89</f>
        <v>6.1511451292409047</v>
      </c>
      <c r="AG12" s="167">
        <f>'Section Calcs'!AF89</f>
        <v>6.4847025238582088</v>
      </c>
      <c r="AH12" s="167">
        <f>'Section Calcs'!AG89</f>
        <v>6.7060750503105959</v>
      </c>
      <c r="AI12" s="167">
        <f>'Section Calcs'!AH89</f>
        <v>6.8534137209162491</v>
      </c>
      <c r="AJ12" s="167">
        <f>'Section Calcs'!AI89</f>
        <v>6.9493320201251318</v>
      </c>
      <c r="AK12" s="167">
        <f>'Section Calcs'!AJ89</f>
        <v>7.0080848181571458</v>
      </c>
      <c r="AL12" s="167">
        <f>'Section Calcs'!AK89</f>
        <v>7.0391036724598841</v>
      </c>
      <c r="AM12" s="167">
        <f>'Section Calcs'!AL89</f>
        <v>7.0745672028940625</v>
      </c>
      <c r="AN12" s="167">
        <f>'Section Calcs'!AM89</f>
        <v>7.0983723900706526</v>
      </c>
      <c r="AO12" s="167">
        <f>'Section Calcs'!AN89</f>
        <v>7.1105192339896552</v>
      </c>
      <c r="AP12" s="167">
        <f>'Section Calcs'!AO89</f>
        <v>7.1110077346510696</v>
      </c>
      <c r="AR12" s="168">
        <f t="shared" si="0"/>
        <v>58.281471291929812</v>
      </c>
      <c r="AS12" s="165">
        <v>2</v>
      </c>
      <c r="AT12" s="168">
        <f t="shared" si="1"/>
        <v>116.56294258385962</v>
      </c>
      <c r="AV12" s="171">
        <f>Inputs!$B$3/20*(20-A12)</f>
        <v>63.246769080712028</v>
      </c>
      <c r="AX12" s="168">
        <f>AR12+'Cp Calcs'!D28</f>
        <v>114.37433405301107</v>
      </c>
      <c r="AZ12" s="168">
        <f>A12/$A$2</f>
        <v>0.5</v>
      </c>
      <c r="BA12" s="166">
        <f>AL12</f>
        <v>7.0391036724598841</v>
      </c>
      <c r="BB12" s="165">
        <v>1</v>
      </c>
      <c r="BC12" s="165">
        <f t="shared" si="4"/>
        <v>7.0391036724598841</v>
      </c>
      <c r="BE12" s="165">
        <v>1</v>
      </c>
      <c r="BF12" s="165">
        <f>'Cp Calcs'!D28</f>
        <v>56.09286276108125</v>
      </c>
      <c r="BG12" s="165">
        <f t="shared" si="5"/>
        <v>56.09286276108125</v>
      </c>
      <c r="BI12" s="168">
        <f>A12/$A$2</f>
        <v>0.5</v>
      </c>
      <c r="BJ12" s="166">
        <f>AL12</f>
        <v>7.0391036724598841</v>
      </c>
      <c r="BK12" s="165">
        <v>1</v>
      </c>
      <c r="BL12" s="165">
        <f>BJ12*BK12</f>
        <v>7.0391036724598841</v>
      </c>
      <c r="BN12" s="165">
        <v>1</v>
      </c>
      <c r="BO12" s="165">
        <f>'Cp Calcs'!D28</f>
        <v>56.09286276108125</v>
      </c>
      <c r="BP12" s="165">
        <f>BN12*BO12</f>
        <v>56.09286276108125</v>
      </c>
      <c r="BR12" s="165">
        <v>2</v>
      </c>
      <c r="BS12" s="165">
        <f>'Cp Calcs'!D28</f>
        <v>56.09286276108125</v>
      </c>
      <c r="BT12" s="165">
        <f t="shared" si="6"/>
        <v>112.1857255221625</v>
      </c>
    </row>
    <row r="13" spans="1:72" s="165" customFormat="1" x14ac:dyDescent="0.25">
      <c r="A13">
        <f>'Section Calcs'!A93</f>
        <v>9</v>
      </c>
      <c r="B13" s="166">
        <f>'Section Calcs'!V92</f>
        <v>0</v>
      </c>
      <c r="C13" s="166">
        <f>'Section Calcs'!W92</f>
        <v>4.8514589937413644E-2</v>
      </c>
      <c r="D13" s="166">
        <f>'Section Calcs'!X92</f>
        <v>0.1455437698122409</v>
      </c>
      <c r="E13" s="166">
        <f>'Section Calcs'!Y92</f>
        <v>0.24257294968706822</v>
      </c>
      <c r="F13" s="166">
        <f>'Section Calcs'!Z92</f>
        <v>0.3396021295618955</v>
      </c>
      <c r="G13" s="166">
        <f>'Section Calcs'!AA92</f>
        <v>0.48514589937413644</v>
      </c>
      <c r="H13" s="166">
        <f>'Section Calcs'!AB92</f>
        <v>0.72771884906120454</v>
      </c>
      <c r="I13" s="166">
        <f>'Section Calcs'!AC92</f>
        <v>0.97029179874827287</v>
      </c>
      <c r="J13" s="166">
        <f>'Section Calcs'!AD92</f>
        <v>1.4554376981224091</v>
      </c>
      <c r="K13" s="166">
        <f>'Section Calcs'!AE92</f>
        <v>1.9405835974965457</v>
      </c>
      <c r="L13" s="166">
        <f>'Section Calcs'!AF92</f>
        <v>2.425729496870682</v>
      </c>
      <c r="M13" s="166">
        <f>'Section Calcs'!AG92</f>
        <v>2.9108753962448182</v>
      </c>
      <c r="N13" s="166">
        <f>'Section Calcs'!AH92</f>
        <v>3.3960212956189544</v>
      </c>
      <c r="O13" s="166">
        <f>'Section Calcs'!AI92</f>
        <v>3.8811671949930915</v>
      </c>
      <c r="P13" s="166">
        <f>'Section Calcs'!AJ92</f>
        <v>4.3663130943672277</v>
      </c>
      <c r="Q13" s="166">
        <f>'Section Calcs'!AK92</f>
        <v>4.8514589937413639</v>
      </c>
      <c r="R13" s="166">
        <f>'Section Calcs'!AL92</f>
        <v>5.8786038578464002</v>
      </c>
      <c r="S13" s="166">
        <f>'Section Calcs'!AM92</f>
        <v>6.9057487219514373</v>
      </c>
      <c r="T13" s="166">
        <f>'Section Calcs'!AN92</f>
        <v>7.9328935860564744</v>
      </c>
      <c r="U13" s="166">
        <f>'Section Calcs'!AO92</f>
        <v>8.9600384501615107</v>
      </c>
      <c r="W13" s="164">
        <f>'Section Calcs'!V95</f>
        <v>0</v>
      </c>
      <c r="X13" s="167">
        <f>'Section Calcs'!W95</f>
        <v>0.70571449868628622</v>
      </c>
      <c r="Y13" s="167">
        <f>'Section Calcs'!X95</f>
        <v>1.772966030232586</v>
      </c>
      <c r="Z13" s="167">
        <f>'Section Calcs'!Y95</f>
        <v>2.5422319141929957</v>
      </c>
      <c r="AA13" s="167">
        <f>'Section Calcs'!Z95</f>
        <v>3.1234770613226468</v>
      </c>
      <c r="AB13" s="167">
        <f>'Section Calcs'!AA95</f>
        <v>3.770942288355438</v>
      </c>
      <c r="AC13" s="167">
        <f>'Section Calcs'!AB95</f>
        <v>4.4983189476229501</v>
      </c>
      <c r="AD13" s="167">
        <f>'Section Calcs'!AC95</f>
        <v>4.981377470395727</v>
      </c>
      <c r="AE13" s="167">
        <f>'Section Calcs'!AD95</f>
        <v>5.5879349254714477</v>
      </c>
      <c r="AF13" s="167">
        <f>'Section Calcs'!AE95</f>
        <v>5.958392126388631</v>
      </c>
      <c r="AG13" s="167">
        <f>'Section Calcs'!AF95</f>
        <v>6.2122754524313493</v>
      </c>
      <c r="AH13" s="167">
        <f>'Section Calcs'!AG95</f>
        <v>6.4000796958574666</v>
      </c>
      <c r="AI13" s="167">
        <f>'Section Calcs'!AH95</f>
        <v>6.546816196096664</v>
      </c>
      <c r="AJ13" s="167">
        <f>'Section Calcs'!AI95</f>
        <v>6.6662878525577449</v>
      </c>
      <c r="AK13" s="167">
        <f>'Section Calcs'!AJ95</f>
        <v>6.7667351848195789</v>
      </c>
      <c r="AL13" s="167">
        <f>'Section Calcs'!AK95</f>
        <v>6.8533818357117688</v>
      </c>
      <c r="AM13" s="167">
        <f>'Section Calcs'!AL95</f>
        <v>6.9915309103973096</v>
      </c>
      <c r="AN13" s="167">
        <f>'Section Calcs'!AM95</f>
        <v>7.0629538318767464</v>
      </c>
      <c r="AO13" s="167">
        <f>'Section Calcs'!AN95</f>
        <v>7.0676506001500794</v>
      </c>
      <c r="AP13" s="167">
        <f>'Section Calcs'!AO95</f>
        <v>7.0056212152173085</v>
      </c>
      <c r="AR13" s="168">
        <f t="shared" si="0"/>
        <v>57.67188109422743</v>
      </c>
      <c r="AS13" s="165">
        <v>4</v>
      </c>
      <c r="AT13" s="168">
        <f t="shared" si="1"/>
        <v>230.68752437690972</v>
      </c>
      <c r="AV13" s="171">
        <f>Inputs!$B$3/20*(20-A13)</f>
        <v>69.571445988783225</v>
      </c>
      <c r="AX13" s="168">
        <f>AR13+'Cp Calcs'!D29</f>
        <v>112.88649274341236</v>
      </c>
      <c r="AZ13" s="168"/>
      <c r="BA13" s="166"/>
      <c r="BI13" s="168">
        <f t="shared" ref="BI13:BI22" si="7">A13/$A$2</f>
        <v>0.45</v>
      </c>
      <c r="BJ13" s="166">
        <f t="shared" ref="BJ13:BJ22" si="8">AL13</f>
        <v>6.8533818357117688</v>
      </c>
      <c r="BK13" s="165">
        <v>4</v>
      </c>
      <c r="BL13" s="165">
        <f t="shared" ref="BL13:BL22" si="9">BJ13*BK13</f>
        <v>27.413527342847075</v>
      </c>
      <c r="BN13" s="165">
        <v>4</v>
      </c>
      <c r="BO13" s="165">
        <f>'Cp Calcs'!D29</f>
        <v>55.214611649184938</v>
      </c>
      <c r="BP13" s="165">
        <f t="shared" ref="BP13:BP22" si="10">BN13*BO13</f>
        <v>220.85844659673975</v>
      </c>
      <c r="BR13" s="165">
        <v>4</v>
      </c>
      <c r="BS13" s="165">
        <f>'Cp Calcs'!D29</f>
        <v>55.214611649184938</v>
      </c>
      <c r="BT13" s="165">
        <f t="shared" si="6"/>
        <v>220.85844659673975</v>
      </c>
    </row>
    <row r="14" spans="1:72" s="165" customFormat="1" x14ac:dyDescent="0.25">
      <c r="A14">
        <f>'Section Calcs'!A98</f>
        <v>8</v>
      </c>
      <c r="B14" s="166">
        <f>'Section Calcs'!V97</f>
        <v>0</v>
      </c>
      <c r="C14" s="166">
        <f>'Section Calcs'!W97</f>
        <v>4.8514589937413644E-2</v>
      </c>
      <c r="D14" s="166">
        <f>'Section Calcs'!X97</f>
        <v>0.1455437698122409</v>
      </c>
      <c r="E14" s="166">
        <f>'Section Calcs'!Y97</f>
        <v>0.24257294968706822</v>
      </c>
      <c r="F14" s="166">
        <f>'Section Calcs'!Z97</f>
        <v>0.3396021295618955</v>
      </c>
      <c r="G14" s="166">
        <f>'Section Calcs'!AA97</f>
        <v>0.48514589937413644</v>
      </c>
      <c r="H14" s="166">
        <f>'Section Calcs'!AB97</f>
        <v>0.72771884906120454</v>
      </c>
      <c r="I14" s="166">
        <f>'Section Calcs'!AC97</f>
        <v>0.97029179874827287</v>
      </c>
      <c r="J14" s="166">
        <f>'Section Calcs'!AD97</f>
        <v>1.4554376981224091</v>
      </c>
      <c r="K14" s="166">
        <f>'Section Calcs'!AE97</f>
        <v>1.9405835974965457</v>
      </c>
      <c r="L14" s="166">
        <f>'Section Calcs'!AF97</f>
        <v>2.425729496870682</v>
      </c>
      <c r="M14" s="166">
        <f>'Section Calcs'!AG97</f>
        <v>2.9108753962448182</v>
      </c>
      <c r="N14" s="166">
        <f>'Section Calcs'!AH97</f>
        <v>3.3960212956189544</v>
      </c>
      <c r="O14" s="166">
        <f>'Section Calcs'!AI97</f>
        <v>3.8811671949930915</v>
      </c>
      <c r="P14" s="166">
        <f>'Section Calcs'!AJ97</f>
        <v>4.3663130943672277</v>
      </c>
      <c r="Q14" s="166">
        <f>'Section Calcs'!AK97</f>
        <v>4.8514589937413639</v>
      </c>
      <c r="R14" s="166">
        <f>'Section Calcs'!AL97</f>
        <v>5.8847451797176085</v>
      </c>
      <c r="S14" s="166">
        <f>'Section Calcs'!AM97</f>
        <v>6.9180313656938521</v>
      </c>
      <c r="T14" s="166">
        <f>'Section Calcs'!AN97</f>
        <v>7.9513175516700958</v>
      </c>
      <c r="U14" s="166">
        <f>'Section Calcs'!AO97</f>
        <v>8.9846037376463403</v>
      </c>
      <c r="W14" s="164">
        <f>'Section Calcs'!V100</f>
        <v>0</v>
      </c>
      <c r="X14" s="167">
        <f>'Section Calcs'!W100</f>
        <v>1.1109664277450284</v>
      </c>
      <c r="Y14" s="167">
        <f>'Section Calcs'!X100</f>
        <v>2.3978280483407017</v>
      </c>
      <c r="Z14" s="167">
        <f>'Section Calcs'!Y100</f>
        <v>3.126638937295982</v>
      </c>
      <c r="AA14" s="167">
        <f>'Section Calcs'!Z100</f>
        <v>3.6003742721758103</v>
      </c>
      <c r="AB14" s="167">
        <f>'Section Calcs'!AA100</f>
        <v>4.0709689406373499</v>
      </c>
      <c r="AC14" s="167">
        <f>'Section Calcs'!AB100</f>
        <v>4.5512158841397161</v>
      </c>
      <c r="AD14" s="167">
        <f>'Section Calcs'!AC100</f>
        <v>4.8568116340061893</v>
      </c>
      <c r="AE14" s="167">
        <f>'Section Calcs'!AD100</f>
        <v>5.2517921723609415</v>
      </c>
      <c r="AF14" s="167">
        <f>'Section Calcs'!AE100</f>
        <v>5.522096435965568</v>
      </c>
      <c r="AG14" s="167">
        <f>'Section Calcs'!AF100</f>
        <v>5.7369231358962072</v>
      </c>
      <c r="AH14" s="167">
        <f>'Section Calcs'!AG100</f>
        <v>5.922256505490636</v>
      </c>
      <c r="AI14" s="167">
        <f>'Section Calcs'!AH100</f>
        <v>6.0900449985542737</v>
      </c>
      <c r="AJ14" s="167">
        <f>'Section Calcs'!AI100</f>
        <v>6.2465508094426534</v>
      </c>
      <c r="AK14" s="167">
        <f>'Section Calcs'!AJ100</f>
        <v>6.3953728256965894</v>
      </c>
      <c r="AL14" s="167">
        <f>'Section Calcs'!AK100</f>
        <v>6.538726431309354</v>
      </c>
      <c r="AM14" s="167">
        <f>'Section Calcs'!AL100</f>
        <v>6.7827656650744181</v>
      </c>
      <c r="AN14" s="167">
        <f>'Section Calcs'!AM100</f>
        <v>6.9136492782057637</v>
      </c>
      <c r="AO14" s="167">
        <f>'Section Calcs'!AN100</f>
        <v>6.931377270703388</v>
      </c>
      <c r="AP14" s="167">
        <f>'Section Calcs'!AO100</f>
        <v>6.8359496425672939</v>
      </c>
      <c r="AR14" s="168">
        <f t="shared" si="0"/>
        <v>56.526641605949784</v>
      </c>
      <c r="AS14" s="165">
        <v>2</v>
      </c>
      <c r="AT14" s="168">
        <f t="shared" si="1"/>
        <v>113.05328321189957</v>
      </c>
      <c r="AV14" s="171">
        <f>Inputs!$B$3/20*(20-A14)</f>
        <v>75.896122896854422</v>
      </c>
      <c r="AX14" s="168">
        <f>AR14+'Cp Calcs'!D30</f>
        <v>109.1165620169202</v>
      </c>
      <c r="AZ14" s="168"/>
      <c r="BA14" s="166"/>
      <c r="BI14" s="168">
        <f t="shared" si="7"/>
        <v>0.4</v>
      </c>
      <c r="BJ14" s="166">
        <f t="shared" si="8"/>
        <v>6.538726431309354</v>
      </c>
      <c r="BK14" s="165">
        <v>2</v>
      </c>
      <c r="BL14" s="165">
        <f t="shared" si="9"/>
        <v>13.077452862618708</v>
      </c>
      <c r="BN14" s="165">
        <v>2</v>
      </c>
      <c r="BO14" s="165">
        <f>'Cp Calcs'!D30</f>
        <v>52.589920410970407</v>
      </c>
      <c r="BP14" s="165">
        <f t="shared" si="10"/>
        <v>105.17984082194081</v>
      </c>
      <c r="BR14" s="165">
        <v>2</v>
      </c>
      <c r="BS14" s="165">
        <f>'Cp Calcs'!D30</f>
        <v>52.589920410970407</v>
      </c>
      <c r="BT14" s="165">
        <f t="shared" si="6"/>
        <v>105.17984082194081</v>
      </c>
    </row>
    <row r="15" spans="1:72" s="165" customFormat="1" x14ac:dyDescent="0.25">
      <c r="A15">
        <f>'Section Calcs'!A103</f>
        <v>7</v>
      </c>
      <c r="B15" s="166">
        <f>'Section Calcs'!V102</f>
        <v>0</v>
      </c>
      <c r="C15" s="166">
        <f>'Section Calcs'!W102</f>
        <v>4.8514589937413644E-2</v>
      </c>
      <c r="D15" s="166">
        <f>'Section Calcs'!X102</f>
        <v>0.1455437698122409</v>
      </c>
      <c r="E15" s="166">
        <f>'Section Calcs'!Y102</f>
        <v>0.24257294968706822</v>
      </c>
      <c r="F15" s="166">
        <f>'Section Calcs'!Z102</f>
        <v>0.3396021295618955</v>
      </c>
      <c r="G15" s="166">
        <f>'Section Calcs'!AA102</f>
        <v>0.48514589937413644</v>
      </c>
      <c r="H15" s="166">
        <f>'Section Calcs'!AB102</f>
        <v>0.72771884906120454</v>
      </c>
      <c r="I15" s="166">
        <f>'Section Calcs'!AC102</f>
        <v>0.97029179874827287</v>
      </c>
      <c r="J15" s="166">
        <f>'Section Calcs'!AD102</f>
        <v>1.4554376981224091</v>
      </c>
      <c r="K15" s="166">
        <f>'Section Calcs'!AE102</f>
        <v>1.9405835974965457</v>
      </c>
      <c r="L15" s="166">
        <f>'Section Calcs'!AF102</f>
        <v>2.425729496870682</v>
      </c>
      <c r="M15" s="166">
        <f>'Section Calcs'!AG102</f>
        <v>2.9108753962448182</v>
      </c>
      <c r="N15" s="166">
        <f>'Section Calcs'!AH102</f>
        <v>3.3960212956189544</v>
      </c>
      <c r="O15" s="166">
        <f>'Section Calcs'!AI102</f>
        <v>3.8811671949930915</v>
      </c>
      <c r="P15" s="166">
        <f>'Section Calcs'!AJ102</f>
        <v>4.3663130943672277</v>
      </c>
      <c r="Q15" s="166">
        <f>'Section Calcs'!AK102</f>
        <v>4.8514589937413639</v>
      </c>
      <c r="R15" s="166">
        <f>'Section Calcs'!AL102</f>
        <v>5.9036065540950489</v>
      </c>
      <c r="S15" s="166">
        <f>'Section Calcs'!AM102</f>
        <v>6.9557541144487338</v>
      </c>
      <c r="T15" s="166">
        <f>'Section Calcs'!AN102</f>
        <v>8.0079016748024188</v>
      </c>
      <c r="U15" s="166">
        <f>'Section Calcs'!AO102</f>
        <v>9.0600492351561037</v>
      </c>
      <c r="W15" s="164">
        <f>'Section Calcs'!V105</f>
        <v>0</v>
      </c>
      <c r="X15" s="167">
        <f>'Section Calcs'!W105</f>
        <v>1.6373124659651261</v>
      </c>
      <c r="Y15" s="167">
        <f>'Section Calcs'!X105</f>
        <v>2.8421088674158774</v>
      </c>
      <c r="Z15" s="167">
        <f>'Section Calcs'!Y105</f>
        <v>3.3485601983035407</v>
      </c>
      <c r="AA15" s="167">
        <f>'Section Calcs'!Z105</f>
        <v>3.638625023748765</v>
      </c>
      <c r="AB15" s="167">
        <f>'Section Calcs'!AA105</f>
        <v>3.9108667157510117</v>
      </c>
      <c r="AC15" s="167">
        <f>'Section Calcs'!AB105</f>
        <v>4.1904661539225572</v>
      </c>
      <c r="AD15" s="167">
        <f>'Section Calcs'!AC105</f>
        <v>4.3828336468552376</v>
      </c>
      <c r="AE15" s="167">
        <f>'Section Calcs'!AD105</f>
        <v>4.6710126725317087</v>
      </c>
      <c r="AF15" s="167">
        <f>'Section Calcs'!AE105</f>
        <v>4.9076448438686526</v>
      </c>
      <c r="AG15" s="167">
        <f>'Section Calcs'!AF105</f>
        <v>5.1226448594909533</v>
      </c>
      <c r="AH15" s="167">
        <f>'Section Calcs'!AG105</f>
        <v>5.3265318356738272</v>
      </c>
      <c r="AI15" s="167">
        <f>'Section Calcs'!AH105</f>
        <v>5.5239559792605188</v>
      </c>
      <c r="AJ15" s="167">
        <f>'Section Calcs'!AI105</f>
        <v>5.7172906023515528</v>
      </c>
      <c r="AK15" s="167">
        <f>'Section Calcs'!AJ105</f>
        <v>5.9078736968502445</v>
      </c>
      <c r="AL15" s="167">
        <f>'Section Calcs'!AK105</f>
        <v>6.0965169722775912</v>
      </c>
      <c r="AM15" s="167">
        <f>'Section Calcs'!AL105</f>
        <v>6.4331605303982027</v>
      </c>
      <c r="AN15" s="167">
        <f>'Section Calcs'!AM105</f>
        <v>6.6282403633611731</v>
      </c>
      <c r="AO15" s="167">
        <f>'Section Calcs'!AN105</f>
        <v>6.6817564711665014</v>
      </c>
      <c r="AP15" s="167">
        <f>'Section Calcs'!AO105</f>
        <v>6.5937088538141868</v>
      </c>
      <c r="AR15" s="168">
        <f t="shared" si="0"/>
        <v>54.996717139003891</v>
      </c>
      <c r="AS15" s="165">
        <v>4</v>
      </c>
      <c r="AT15" s="168">
        <f t="shared" si="1"/>
        <v>219.98686855601557</v>
      </c>
      <c r="AV15" s="171">
        <f>Inputs!$B$3/20*(20-A15)</f>
        <v>82.220799804925633</v>
      </c>
      <c r="AX15" s="168">
        <f>AR15+'Cp Calcs'!D31</f>
        <v>103.29732695402168</v>
      </c>
      <c r="AZ15" s="168"/>
      <c r="BA15" s="166"/>
      <c r="BI15" s="168">
        <f t="shared" si="7"/>
        <v>0.35</v>
      </c>
      <c r="BJ15" s="166">
        <f t="shared" si="8"/>
        <v>6.0965169722775912</v>
      </c>
      <c r="BK15" s="165">
        <v>4</v>
      </c>
      <c r="BL15" s="165">
        <f t="shared" si="9"/>
        <v>24.386067889110365</v>
      </c>
      <c r="BN15" s="165">
        <v>4</v>
      </c>
      <c r="BO15" s="165">
        <f>'Cp Calcs'!D31</f>
        <v>48.300609815017793</v>
      </c>
      <c r="BP15" s="165">
        <f t="shared" si="10"/>
        <v>193.20243926007117</v>
      </c>
      <c r="BR15" s="165">
        <v>4</v>
      </c>
      <c r="BS15" s="165">
        <f>'Cp Calcs'!D31</f>
        <v>48.300609815017793</v>
      </c>
      <c r="BT15" s="165">
        <f t="shared" si="6"/>
        <v>193.20243926007117</v>
      </c>
    </row>
    <row r="16" spans="1:72" s="165" customFormat="1" x14ac:dyDescent="0.25">
      <c r="A16">
        <f>'Section Calcs'!A108</f>
        <v>6</v>
      </c>
      <c r="B16" s="166">
        <f>'Section Calcs'!V107</f>
        <v>0</v>
      </c>
      <c r="C16" s="166">
        <f>'Section Calcs'!W107</f>
        <v>4.8514589937413644E-2</v>
      </c>
      <c r="D16" s="166">
        <f>'Section Calcs'!X107</f>
        <v>0.1455437698122409</v>
      </c>
      <c r="E16" s="166">
        <f>'Section Calcs'!Y107</f>
        <v>0.24257294968706822</v>
      </c>
      <c r="F16" s="166">
        <f>'Section Calcs'!Z107</f>
        <v>0.3396021295618955</v>
      </c>
      <c r="G16" s="166">
        <f>'Section Calcs'!AA107</f>
        <v>0.48514589937413644</v>
      </c>
      <c r="H16" s="166">
        <f>'Section Calcs'!AB107</f>
        <v>0.72771884906120454</v>
      </c>
      <c r="I16" s="166">
        <f>'Section Calcs'!AC107</f>
        <v>0.97029179874827287</v>
      </c>
      <c r="J16" s="166">
        <f>'Section Calcs'!AD107</f>
        <v>1.4554376981224091</v>
      </c>
      <c r="K16" s="166">
        <f>'Section Calcs'!AE107</f>
        <v>1.9405835974965457</v>
      </c>
      <c r="L16" s="166">
        <f>'Section Calcs'!AF107</f>
        <v>2.425729496870682</v>
      </c>
      <c r="M16" s="166">
        <f>'Section Calcs'!AG107</f>
        <v>2.9108753962448182</v>
      </c>
      <c r="N16" s="166">
        <f>'Section Calcs'!AH107</f>
        <v>3.3960212956189544</v>
      </c>
      <c r="O16" s="166">
        <f>'Section Calcs'!AI107</f>
        <v>3.8811671949930915</v>
      </c>
      <c r="P16" s="166">
        <f>'Section Calcs'!AJ107</f>
        <v>4.3663130943672277</v>
      </c>
      <c r="Q16" s="166">
        <f>'Section Calcs'!AK107</f>
        <v>4.8514589937413639</v>
      </c>
      <c r="R16" s="166">
        <f>'Section Calcs'!AL107</f>
        <v>5.9364157075602337</v>
      </c>
      <c r="S16" s="166">
        <f>'Section Calcs'!AM107</f>
        <v>7.0213724213791036</v>
      </c>
      <c r="T16" s="166">
        <f>'Section Calcs'!AN107</f>
        <v>8.1063291351979743</v>
      </c>
      <c r="U16" s="166">
        <f>'Section Calcs'!AO107</f>
        <v>9.1912858490168432</v>
      </c>
      <c r="W16" s="164">
        <f>'Section Calcs'!V110</f>
        <v>0</v>
      </c>
      <c r="X16" s="167">
        <f>'Section Calcs'!W110</f>
        <v>1.8094162004452263</v>
      </c>
      <c r="Y16" s="167">
        <f>'Section Calcs'!X110</f>
        <v>2.7097958714154724</v>
      </c>
      <c r="Z16" s="167">
        <f>'Section Calcs'!Y110</f>
        <v>3.0326389503162288</v>
      </c>
      <c r="AA16" s="167">
        <f>'Section Calcs'!Z110</f>
        <v>3.2139486543290143</v>
      </c>
      <c r="AB16" s="167">
        <f>'Section Calcs'!AA110</f>
        <v>3.3902200562433991</v>
      </c>
      <c r="AC16" s="167">
        <f>'Section Calcs'!AB110</f>
        <v>3.5888356840316447</v>
      </c>
      <c r="AD16" s="167">
        <f>'Section Calcs'!AC110</f>
        <v>3.742316135428148</v>
      </c>
      <c r="AE16" s="167">
        <f>'Section Calcs'!AD110</f>
        <v>4.0013775669795768</v>
      </c>
      <c r="AF16" s="167">
        <f>'Section Calcs'!AE110</f>
        <v>4.2355654425312448</v>
      </c>
      <c r="AG16" s="167">
        <f>'Section Calcs'!AF110</f>
        <v>4.4595262875995738</v>
      </c>
      <c r="AH16" s="167">
        <f>'Section Calcs'!AG110</f>
        <v>4.6782941059556737</v>
      </c>
      <c r="AI16" s="167">
        <f>'Section Calcs'!AH110</f>
        <v>4.8940647519763267</v>
      </c>
      <c r="AJ16" s="167">
        <f>'Section Calcs'!AI110</f>
        <v>5.1079490067987185</v>
      </c>
      <c r="AK16" s="167">
        <f>'Section Calcs'!AJ110</f>
        <v>5.3205691153013746</v>
      </c>
      <c r="AL16" s="167">
        <f>'Section Calcs'!AK110</f>
        <v>5.5323007610547359</v>
      </c>
      <c r="AM16" s="167">
        <f>'Section Calcs'!AL110</f>
        <v>5.9326694775794735</v>
      </c>
      <c r="AN16" s="167">
        <f>'Section Calcs'!AM110</f>
        <v>6.188356162667656</v>
      </c>
      <c r="AO16" s="167">
        <f>'Section Calcs'!AN110</f>
        <v>6.2993608163192825</v>
      </c>
      <c r="AP16" s="167">
        <f>'Section Calcs'!AO110</f>
        <v>6.2656834385343565</v>
      </c>
      <c r="AR16" s="168">
        <f t="shared" si="0"/>
        <v>52.875595242170313</v>
      </c>
      <c r="AS16" s="165">
        <v>2</v>
      </c>
      <c r="AT16" s="168">
        <f t="shared" si="1"/>
        <v>105.75119048434063</v>
      </c>
      <c r="AV16" s="171">
        <f>Inputs!$B$3/20*(20-A16)</f>
        <v>88.54547671299683</v>
      </c>
      <c r="AX16" s="168">
        <f>AR16+'Cp Calcs'!D32</f>
        <v>95.398355992472432</v>
      </c>
      <c r="AZ16" s="168"/>
      <c r="BA16" s="166"/>
      <c r="BI16" s="168">
        <f t="shared" si="7"/>
        <v>0.3</v>
      </c>
      <c r="BJ16" s="166">
        <f t="shared" si="8"/>
        <v>5.5323007610547359</v>
      </c>
      <c r="BK16" s="165">
        <v>2</v>
      </c>
      <c r="BL16" s="165">
        <f t="shared" si="9"/>
        <v>11.064601522109472</v>
      </c>
      <c r="BN16" s="165">
        <v>2</v>
      </c>
      <c r="BO16" s="165">
        <f>'Cp Calcs'!D32</f>
        <v>42.522760750302112</v>
      </c>
      <c r="BP16" s="165">
        <f t="shared" si="10"/>
        <v>85.045521500604224</v>
      </c>
      <c r="BR16" s="165">
        <v>2</v>
      </c>
      <c r="BS16" s="165">
        <f>'Cp Calcs'!D32</f>
        <v>42.522760750302112</v>
      </c>
      <c r="BT16" s="165">
        <f t="shared" si="6"/>
        <v>85.045521500604224</v>
      </c>
    </row>
    <row r="17" spans="1:72" s="165" customFormat="1" x14ac:dyDescent="0.25">
      <c r="A17">
        <f>'Section Calcs'!A113</f>
        <v>5</v>
      </c>
      <c r="B17" s="166">
        <f>'Section Calcs'!V112</f>
        <v>0</v>
      </c>
      <c r="C17" s="166">
        <f>'Section Calcs'!W112</f>
        <v>4.8514589937413644E-2</v>
      </c>
      <c r="D17" s="166">
        <f>'Section Calcs'!X112</f>
        <v>0.1455437698122409</v>
      </c>
      <c r="E17" s="166">
        <f>'Section Calcs'!Y112</f>
        <v>0.24257294968706822</v>
      </c>
      <c r="F17" s="166">
        <f>'Section Calcs'!Z112</f>
        <v>0.3396021295618955</v>
      </c>
      <c r="G17" s="166">
        <f>'Section Calcs'!AA112</f>
        <v>0.48514589937413644</v>
      </c>
      <c r="H17" s="166">
        <f>'Section Calcs'!AB112</f>
        <v>0.72771884906120454</v>
      </c>
      <c r="I17" s="166">
        <f>'Section Calcs'!AC112</f>
        <v>0.97029179874827287</v>
      </c>
      <c r="J17" s="166">
        <f>'Section Calcs'!AD112</f>
        <v>1.4554376981224091</v>
      </c>
      <c r="K17" s="166">
        <f>'Section Calcs'!AE112</f>
        <v>1.9405835974965457</v>
      </c>
      <c r="L17" s="166">
        <f>'Section Calcs'!AF112</f>
        <v>2.425729496870682</v>
      </c>
      <c r="M17" s="166">
        <f>'Section Calcs'!AG112</f>
        <v>2.9108753962448182</v>
      </c>
      <c r="N17" s="166">
        <f>'Section Calcs'!AH112</f>
        <v>3.3960212956189544</v>
      </c>
      <c r="O17" s="166">
        <f>'Section Calcs'!AI112</f>
        <v>3.8811671949930915</v>
      </c>
      <c r="P17" s="166">
        <f>'Section Calcs'!AJ112</f>
        <v>4.3663130943672277</v>
      </c>
      <c r="Q17" s="166">
        <f>'Section Calcs'!AK112</f>
        <v>4.8514589937413639</v>
      </c>
      <c r="R17" s="166">
        <f>'Section Calcs'!AL112</f>
        <v>5.9826194095239069</v>
      </c>
      <c r="S17" s="166">
        <f>'Section Calcs'!AM112</f>
        <v>7.1137798253064499</v>
      </c>
      <c r="T17" s="166">
        <f>'Section Calcs'!AN112</f>
        <v>8.2449402410889938</v>
      </c>
      <c r="U17" s="166">
        <f>'Section Calcs'!AO112</f>
        <v>9.3761006568715359</v>
      </c>
      <c r="W17" s="164">
        <f>'Section Calcs'!V115</f>
        <v>0</v>
      </c>
      <c r="X17" s="167">
        <f>'Section Calcs'!W115</f>
        <v>0.83878579968863121</v>
      </c>
      <c r="Y17" s="167">
        <f>'Section Calcs'!X115</f>
        <v>1.6359094304008457</v>
      </c>
      <c r="Z17" s="167">
        <f>'Section Calcs'!Y115</f>
        <v>2.0334630532521771</v>
      </c>
      <c r="AA17" s="167">
        <f>'Section Calcs'!Z115</f>
        <v>2.2816992946646897</v>
      </c>
      <c r="AB17" s="167">
        <f>'Section Calcs'!AA115</f>
        <v>2.529869790935849</v>
      </c>
      <c r="AC17" s="167">
        <f>'Section Calcs'!AB115</f>
        <v>2.8007017449474758</v>
      </c>
      <c r="AD17" s="167">
        <f>'Section Calcs'!AC115</f>
        <v>2.9958093060451789</v>
      </c>
      <c r="AE17" s="167">
        <f>'Section Calcs'!AD115</f>
        <v>3.2983068553410346</v>
      </c>
      <c r="AF17" s="167">
        <f>'Section Calcs'!AE115</f>
        <v>3.5525164789089536</v>
      </c>
      <c r="AG17" s="167">
        <f>'Section Calcs'!AF115</f>
        <v>3.7859892947478739</v>
      </c>
      <c r="AH17" s="167">
        <f>'Section Calcs'!AG115</f>
        <v>4.0086662462326235</v>
      </c>
      <c r="AI17" s="167">
        <f>'Section Calcs'!AH115</f>
        <v>4.2250096636560812</v>
      </c>
      <c r="AJ17" s="167">
        <f>'Section Calcs'!AI115</f>
        <v>4.4373204191772029</v>
      </c>
      <c r="AK17" s="167">
        <f>'Section Calcs'!AJ115</f>
        <v>4.6469052729781559</v>
      </c>
      <c r="AL17" s="167">
        <f>'Section Calcs'!AK115</f>
        <v>4.8545614277492115</v>
      </c>
      <c r="AM17" s="167">
        <f>'Section Calcs'!AL115</f>
        <v>5.2775514468538027</v>
      </c>
      <c r="AN17" s="167">
        <f>'Section Calcs'!AM115</f>
        <v>5.5818044228133017</v>
      </c>
      <c r="AO17" s="167">
        <f>'Section Calcs'!AN115</f>
        <v>5.7673203556277057</v>
      </c>
      <c r="AP17" s="167">
        <f>'Section Calcs'!AO115</f>
        <v>5.8340992452970175</v>
      </c>
      <c r="AR17" s="168">
        <f t="shared" si="0"/>
        <v>49.795006263982415</v>
      </c>
      <c r="AS17" s="165">
        <v>4</v>
      </c>
      <c r="AT17" s="168">
        <f t="shared" si="1"/>
        <v>199.18002505592966</v>
      </c>
      <c r="AV17" s="171">
        <f>Inputs!$B$3/20*(20-A17)</f>
        <v>94.870153621068042</v>
      </c>
      <c r="AX17" s="168">
        <f>AR17+'Cp Calcs'!D33</f>
        <v>85.328332936721623</v>
      </c>
      <c r="AZ17" s="168"/>
      <c r="BA17" s="166"/>
      <c r="BI17" s="168">
        <f t="shared" si="7"/>
        <v>0.25</v>
      </c>
      <c r="BJ17" s="166">
        <f t="shared" si="8"/>
        <v>4.8545614277492115</v>
      </c>
      <c r="BK17" s="165">
        <v>4</v>
      </c>
      <c r="BL17" s="165">
        <f t="shared" si="9"/>
        <v>19.418245710996846</v>
      </c>
      <c r="BN17" s="165">
        <v>4</v>
      </c>
      <c r="BO17" s="165">
        <f>'Cp Calcs'!D33</f>
        <v>35.533326672739207</v>
      </c>
      <c r="BP17" s="165">
        <f t="shared" si="10"/>
        <v>142.13330669095683</v>
      </c>
      <c r="BR17" s="165">
        <v>4</v>
      </c>
      <c r="BS17" s="165">
        <f>'Cp Calcs'!D33</f>
        <v>35.533326672739207</v>
      </c>
      <c r="BT17" s="165">
        <f t="shared" si="6"/>
        <v>142.13330669095683</v>
      </c>
    </row>
    <row r="18" spans="1:72" s="165" customFormat="1" x14ac:dyDescent="0.25">
      <c r="A18">
        <f>'Section Calcs'!A118</f>
        <v>4</v>
      </c>
      <c r="B18" s="166">
        <f>'Section Calcs'!V117</f>
        <v>0</v>
      </c>
      <c r="C18" s="166">
        <f>'Section Calcs'!W117</f>
        <v>4.8514589937413644E-2</v>
      </c>
      <c r="D18" s="166">
        <f>'Section Calcs'!X117</f>
        <v>0.1455437698122409</v>
      </c>
      <c r="E18" s="166">
        <f>'Section Calcs'!Y117</f>
        <v>0.24257294968706822</v>
      </c>
      <c r="F18" s="166">
        <f>'Section Calcs'!Z117</f>
        <v>0.3396021295618955</v>
      </c>
      <c r="G18" s="166">
        <f>'Section Calcs'!AA117</f>
        <v>0.48514589937413644</v>
      </c>
      <c r="H18" s="166">
        <f>'Section Calcs'!AB117</f>
        <v>0.72771884906120454</v>
      </c>
      <c r="I18" s="166">
        <f>'Section Calcs'!AC117</f>
        <v>0.97029179874827287</v>
      </c>
      <c r="J18" s="166">
        <f>'Section Calcs'!AD117</f>
        <v>1.4554376981224091</v>
      </c>
      <c r="K18" s="166">
        <f>'Section Calcs'!AE117</f>
        <v>1.9405835974965457</v>
      </c>
      <c r="L18" s="166">
        <f>'Section Calcs'!AF117</f>
        <v>2.425729496870682</v>
      </c>
      <c r="M18" s="166">
        <f>'Section Calcs'!AG117</f>
        <v>2.9108753962448182</v>
      </c>
      <c r="N18" s="166">
        <f>'Section Calcs'!AH117</f>
        <v>3.3960212956189544</v>
      </c>
      <c r="O18" s="166">
        <f>'Section Calcs'!AI117</f>
        <v>3.8811671949930915</v>
      </c>
      <c r="P18" s="166">
        <f>'Section Calcs'!AJ117</f>
        <v>4.3663130943672277</v>
      </c>
      <c r="Q18" s="166">
        <f>'Section Calcs'!AK117</f>
        <v>4.8514589937413639</v>
      </c>
      <c r="R18" s="166">
        <f>'Section Calcs'!AL117</f>
        <v>6.0424339968151557</v>
      </c>
      <c r="S18" s="166">
        <f>'Section Calcs'!AM117</f>
        <v>7.2334089998889466</v>
      </c>
      <c r="T18" s="166">
        <f>'Section Calcs'!AN117</f>
        <v>8.4243840029627375</v>
      </c>
      <c r="U18" s="166">
        <f>'Section Calcs'!AO117</f>
        <v>9.6153590060365293</v>
      </c>
      <c r="W18" s="164">
        <f>'Section Calcs'!V120</f>
        <v>0</v>
      </c>
      <c r="X18" s="167">
        <f>'Section Calcs'!W120</f>
        <v>7.6299081939536662E-2</v>
      </c>
      <c r="Y18" s="167">
        <f>'Section Calcs'!X120</f>
        <v>0.23166256354463399</v>
      </c>
      <c r="Z18" s="167">
        <f>'Section Calcs'!Y120</f>
        <v>0.38999319991863673</v>
      </c>
      <c r="AA18" s="167">
        <f>'Section Calcs'!Z120</f>
        <v>0.5504608204665512</v>
      </c>
      <c r="AB18" s="167">
        <f>'Section Calcs'!AA120</f>
        <v>0.79344802606158926</v>
      </c>
      <c r="AC18" s="167">
        <f>'Section Calcs'!AB120</f>
        <v>1.1984478142557631</v>
      </c>
      <c r="AD18" s="167">
        <f>'Section Calcs'!AC120</f>
        <v>1.5945826880047596</v>
      </c>
      <c r="AE18" s="167">
        <f>'Section Calcs'!AD120</f>
        <v>2.3261521245650885</v>
      </c>
      <c r="AF18" s="167">
        <f>'Section Calcs'!AE120</f>
        <v>2.9350130773052623</v>
      </c>
      <c r="AG18" s="167">
        <f>'Section Calcs'!AF120</f>
        <v>3.3921308906150656</v>
      </c>
      <c r="AH18" s="167">
        <f>'Section Calcs'!AG120</f>
        <v>3.6925795117113962</v>
      </c>
      <c r="AI18" s="167">
        <f>'Section Calcs'!AH120</f>
        <v>3.855541490638255</v>
      </c>
      <c r="AJ18" s="167">
        <f>'Section Calcs'!AI120</f>
        <v>3.9243079802667524</v>
      </c>
      <c r="AK18" s="167">
        <f>'Section Calcs'!AJ120</f>
        <v>3.966278736295076</v>
      </c>
      <c r="AL18" s="167">
        <f>'Section Calcs'!AK120</f>
        <v>4.0729621172485997</v>
      </c>
      <c r="AM18" s="167">
        <f>'Section Calcs'!AL120</f>
        <v>4.4714767675480669</v>
      </c>
      <c r="AN18" s="167">
        <f>'Section Calcs'!AM120</f>
        <v>4.8050159431673585</v>
      </c>
      <c r="AO18" s="167">
        <f>'Section Calcs'!AN120</f>
        <v>5.0735796441064753</v>
      </c>
      <c r="AP18" s="167">
        <f>'Section Calcs'!AO120</f>
        <v>5.2771678703654139</v>
      </c>
      <c r="AR18" s="168">
        <f t="shared" si="0"/>
        <v>45.36851546862988</v>
      </c>
      <c r="AS18" s="165">
        <v>2</v>
      </c>
      <c r="AT18" s="168">
        <f t="shared" si="1"/>
        <v>90.73703093725976</v>
      </c>
      <c r="AV18" s="171">
        <f>Inputs!$B$3/20*(20-A18)</f>
        <v>101.19483052913924</v>
      </c>
      <c r="AX18" s="168">
        <f>AR18+'Cp Calcs'!D34</f>
        <v>73.085261520362423</v>
      </c>
      <c r="AZ18" s="168"/>
      <c r="BA18" s="166"/>
      <c r="BI18" s="168">
        <f t="shared" si="7"/>
        <v>0.2</v>
      </c>
      <c r="BJ18" s="166">
        <f t="shared" si="8"/>
        <v>4.0729621172485997</v>
      </c>
      <c r="BK18" s="165">
        <v>2</v>
      </c>
      <c r="BL18" s="165">
        <f t="shared" si="9"/>
        <v>8.1459242344971994</v>
      </c>
      <c r="BN18" s="165">
        <v>2</v>
      </c>
      <c r="BO18" s="165">
        <f>'Cp Calcs'!D34</f>
        <v>27.716746051732535</v>
      </c>
      <c r="BP18" s="165">
        <f t="shared" si="10"/>
        <v>55.43349210346507</v>
      </c>
      <c r="BR18" s="165">
        <v>2</v>
      </c>
      <c r="BS18" s="165">
        <f>'Cp Calcs'!D34</f>
        <v>27.716746051732535</v>
      </c>
      <c r="BT18" s="165">
        <f t="shared" si="6"/>
        <v>55.43349210346507</v>
      </c>
    </row>
    <row r="19" spans="1:72" s="165" customFormat="1" x14ac:dyDescent="0.25">
      <c r="A19">
        <f>'Section Calcs'!A123</f>
        <v>3</v>
      </c>
      <c r="B19" s="166">
        <f>'Section Calcs'!V122</f>
        <v>0</v>
      </c>
      <c r="C19" s="166">
        <f>'Section Calcs'!W122</f>
        <v>4.8514589937413644E-2</v>
      </c>
      <c r="D19" s="166">
        <f>'Section Calcs'!X122</f>
        <v>0.1455437698122409</v>
      </c>
      <c r="E19" s="166">
        <f>'Section Calcs'!Y122</f>
        <v>0.24257294968706822</v>
      </c>
      <c r="F19" s="166">
        <f>'Section Calcs'!Z122</f>
        <v>0.3396021295618955</v>
      </c>
      <c r="G19" s="166">
        <f>'Section Calcs'!AA122</f>
        <v>0.48514589937413644</v>
      </c>
      <c r="H19" s="166">
        <f>'Section Calcs'!AB122</f>
        <v>0.72771884906120454</v>
      </c>
      <c r="I19" s="166">
        <f>'Section Calcs'!AC122</f>
        <v>0.97029179874827287</v>
      </c>
      <c r="J19" s="166">
        <f>'Section Calcs'!AD122</f>
        <v>1.4554376981224091</v>
      </c>
      <c r="K19" s="166">
        <f>'Section Calcs'!AE122</f>
        <v>1.9405835974965457</v>
      </c>
      <c r="L19" s="166">
        <f>'Section Calcs'!AF122</f>
        <v>2.425729496870682</v>
      </c>
      <c r="M19" s="166">
        <f>'Section Calcs'!AG122</f>
        <v>2.9108753962448182</v>
      </c>
      <c r="N19" s="166">
        <f>'Section Calcs'!AH122</f>
        <v>3.3960212956189544</v>
      </c>
      <c r="O19" s="166">
        <f>'Section Calcs'!AI122</f>
        <v>3.8811671949930915</v>
      </c>
      <c r="P19" s="166">
        <f>'Section Calcs'!AJ122</f>
        <v>4.3663130943672277</v>
      </c>
      <c r="Q19" s="166">
        <f>'Section Calcs'!AK122</f>
        <v>4.8514589937413639</v>
      </c>
      <c r="R19" s="166">
        <f>'Section Calcs'!AL122</f>
        <v>6.1157594930830559</v>
      </c>
      <c r="S19" s="166">
        <f>'Section Calcs'!AM122</f>
        <v>7.3800599924247479</v>
      </c>
      <c r="T19" s="166">
        <f>'Section Calcs'!AN122</f>
        <v>8.6443604917664398</v>
      </c>
      <c r="U19" s="166">
        <f>'Section Calcs'!AO122</f>
        <v>9.9086609911081318</v>
      </c>
      <c r="W19" s="164">
        <f>'Section Calcs'!V125</f>
        <v>0</v>
      </c>
      <c r="X19" s="167">
        <f>'Section Calcs'!W125</f>
        <v>1.2059971625739336E-2</v>
      </c>
      <c r="Y19" s="167">
        <f>'Section Calcs'!X125</f>
        <v>4.7140988725535356E-2</v>
      </c>
      <c r="Z19" s="167">
        <f>'Section Calcs'!Y125</f>
        <v>9.5666280181521957E-2</v>
      </c>
      <c r="AA19" s="167">
        <f>'Section Calcs'!Z125</f>
        <v>0.15627547164736225</v>
      </c>
      <c r="AB19" s="167">
        <f>'Section Calcs'!AA125</f>
        <v>0.26699510599819826</v>
      </c>
      <c r="AC19" s="167">
        <f>'Section Calcs'!AB125</f>
        <v>0.49411233402420351</v>
      </c>
      <c r="AD19" s="167">
        <f>'Section Calcs'!AC125</f>
        <v>0.75911768617041364</v>
      </c>
      <c r="AE19" s="167">
        <f>'Section Calcs'!AD125</f>
        <v>1.341060977150446</v>
      </c>
      <c r="AF19" s="167">
        <f>'Section Calcs'!AE125</f>
        <v>1.9091000609592967</v>
      </c>
      <c r="AG19" s="167">
        <f>'Section Calcs'!AF125</f>
        <v>2.3910918650051638</v>
      </c>
      <c r="AH19" s="167">
        <f>'Section Calcs'!AG125</f>
        <v>2.7464751620834469</v>
      </c>
      <c r="AI19" s="167">
        <f>'Section Calcs'!AH125</f>
        <v>2.9662705703767487</v>
      </c>
      <c r="AJ19" s="167">
        <f>'Section Calcs'!AI125</f>
        <v>3.0730805534548709</v>
      </c>
      <c r="AK19" s="167">
        <f>'Section Calcs'!AJ125</f>
        <v>3.1210894202747914</v>
      </c>
      <c r="AL19" s="167">
        <f>'Section Calcs'!AK125</f>
        <v>3.19606332518075</v>
      </c>
      <c r="AM19" s="167">
        <f>'Section Calcs'!AL125</f>
        <v>3.5261888520839832</v>
      </c>
      <c r="AN19" s="167">
        <f>'Section Calcs'!AM125</f>
        <v>3.8653697100895879</v>
      </c>
      <c r="AO19" s="167">
        <f>'Section Calcs'!AN125</f>
        <v>4.2136058991975638</v>
      </c>
      <c r="AP19" s="167">
        <f>'Section Calcs'!AO125</f>
        <v>4.5708974194079124</v>
      </c>
      <c r="AR19" s="168">
        <f t="shared" si="0"/>
        <v>39.156970354902441</v>
      </c>
      <c r="AS19" s="165">
        <v>4</v>
      </c>
      <c r="AT19" s="168">
        <f t="shared" si="1"/>
        <v>156.62788141960976</v>
      </c>
      <c r="AV19" s="171">
        <f>Inputs!$B$3/20*(20-A19)</f>
        <v>107.51950743721044</v>
      </c>
      <c r="AX19" s="168">
        <f>AR19+'Cp Calcs'!D35</f>
        <v>58.728525171621449</v>
      </c>
      <c r="AZ19" s="168"/>
      <c r="BA19" s="166"/>
      <c r="BI19" s="168">
        <f t="shared" si="7"/>
        <v>0.15</v>
      </c>
      <c r="BJ19" s="166">
        <f t="shared" si="8"/>
        <v>3.19606332518075</v>
      </c>
      <c r="BK19" s="165">
        <v>4</v>
      </c>
      <c r="BL19" s="165">
        <f t="shared" si="9"/>
        <v>12.784253300723</v>
      </c>
      <c r="BN19" s="165">
        <v>4</v>
      </c>
      <c r="BO19" s="165">
        <f>'Cp Calcs'!D35</f>
        <v>19.571554816719008</v>
      </c>
      <c r="BP19" s="165">
        <f t="shared" si="10"/>
        <v>78.286219266876031</v>
      </c>
      <c r="BR19" s="165">
        <v>4</v>
      </c>
      <c r="BS19" s="165">
        <f>'Cp Calcs'!D35</f>
        <v>19.571554816719008</v>
      </c>
      <c r="BT19" s="165">
        <f t="shared" si="6"/>
        <v>78.286219266876031</v>
      </c>
    </row>
    <row r="20" spans="1:72" s="165" customFormat="1" x14ac:dyDescent="0.25">
      <c r="A20">
        <f>'Section Calcs'!A128</f>
        <v>2</v>
      </c>
      <c r="B20" s="166">
        <f>'Section Calcs'!V127</f>
        <v>0</v>
      </c>
      <c r="C20" s="166">
        <f>'Section Calcs'!W127</f>
        <v>4.8514589937413644E-2</v>
      </c>
      <c r="D20" s="166">
        <f>'Section Calcs'!X127</f>
        <v>0.1455437698122409</v>
      </c>
      <c r="E20" s="166">
        <f>'Section Calcs'!Y127</f>
        <v>0.24257294968706822</v>
      </c>
      <c r="F20" s="166">
        <f>'Section Calcs'!Z127</f>
        <v>0.3396021295618955</v>
      </c>
      <c r="G20" s="166">
        <f>'Section Calcs'!AA127</f>
        <v>0.48514589937413644</v>
      </c>
      <c r="H20" s="166">
        <f>'Section Calcs'!AB127</f>
        <v>0.72771884906120454</v>
      </c>
      <c r="I20" s="166">
        <f>'Section Calcs'!AC127</f>
        <v>0.97029179874827287</v>
      </c>
      <c r="J20" s="166">
        <f>'Section Calcs'!AD127</f>
        <v>1.4554376981224091</v>
      </c>
      <c r="K20" s="166">
        <f>'Section Calcs'!AE127</f>
        <v>1.9405835974965457</v>
      </c>
      <c r="L20" s="166">
        <f>'Section Calcs'!AF127</f>
        <v>2.425729496870682</v>
      </c>
      <c r="M20" s="166">
        <f>'Section Calcs'!AG127</f>
        <v>2.9108753962448182</v>
      </c>
      <c r="N20" s="166">
        <f>'Section Calcs'!AH127</f>
        <v>3.3960212956189544</v>
      </c>
      <c r="O20" s="166">
        <f>'Section Calcs'!AI127</f>
        <v>3.8811671949930915</v>
      </c>
      <c r="P20" s="166">
        <f>'Section Calcs'!AJ127</f>
        <v>4.3663130943672277</v>
      </c>
      <c r="Q20" s="166">
        <f>'Section Calcs'!AK127</f>
        <v>4.8514589937413639</v>
      </c>
      <c r="R20" s="166">
        <f>'Section Calcs'!AL127</f>
        <v>6.2027165508162501</v>
      </c>
      <c r="S20" s="166">
        <f>'Section Calcs'!AM127</f>
        <v>7.5539741078911371</v>
      </c>
      <c r="T20" s="166">
        <f>'Section Calcs'!AN127</f>
        <v>8.9052316649660241</v>
      </c>
      <c r="U20" s="166">
        <f>'Section Calcs'!AO127</f>
        <v>10.25648922204091</v>
      </c>
      <c r="W20" s="164">
        <f>'Section Calcs'!V130</f>
        <v>0</v>
      </c>
      <c r="X20" s="167">
        <f>'Section Calcs'!W130</f>
        <v>1.0380734603302451E-3</v>
      </c>
      <c r="Y20" s="167">
        <f>'Section Calcs'!X130</f>
        <v>9.1182819464083516E-3</v>
      </c>
      <c r="Z20" s="167">
        <f>'Section Calcs'!Y130</f>
        <v>2.4708296996867874E-2</v>
      </c>
      <c r="AA20" s="167">
        <f>'Section Calcs'!Z130</f>
        <v>4.722854869524927E-2</v>
      </c>
      <c r="AB20" s="167">
        <f>'Section Calcs'!AA130</f>
        <v>9.2777950264968503E-2</v>
      </c>
      <c r="AC20" s="167">
        <f>'Section Calcs'!AB130</f>
        <v>0.19562695207683323</v>
      </c>
      <c r="AD20" s="167">
        <f>'Section Calcs'!AC130</f>
        <v>0.32535011215815635</v>
      </c>
      <c r="AE20" s="167">
        <f>'Section Calcs'!AD130</f>
        <v>0.6371822332977588</v>
      </c>
      <c r="AF20" s="167">
        <f>'Section Calcs'!AE130</f>
        <v>0.97856914055256372</v>
      </c>
      <c r="AG20" s="167">
        <f>'Section Calcs'!AF130</f>
        <v>1.310634740041946</v>
      </c>
      <c r="AH20" s="167">
        <f>'Section Calcs'!AG130</f>
        <v>1.6053320171358723</v>
      </c>
      <c r="AI20" s="167">
        <f>'Section Calcs'!AH130</f>
        <v>1.8454430364549019</v>
      </c>
      <c r="AJ20" s="167">
        <f>'Section Calcs'!AI130</f>
        <v>2.0245789418701827</v>
      </c>
      <c r="AK20" s="167">
        <f>'Section Calcs'!AJ130</f>
        <v>2.1471799565034404</v>
      </c>
      <c r="AL20" s="167">
        <f>'Section Calcs'!AK130</f>
        <v>2.2285153827270259</v>
      </c>
      <c r="AM20" s="167">
        <f>'Section Calcs'!AL130</f>
        <v>2.4628543779546099</v>
      </c>
      <c r="AN20" s="167">
        <f>'Section Calcs'!AM130</f>
        <v>2.7842925606295768</v>
      </c>
      <c r="AO20" s="167">
        <f>'Section Calcs'!AN130</f>
        <v>3.1928299307519277</v>
      </c>
      <c r="AP20" s="167">
        <f>'Section Calcs'!AO130</f>
        <v>3.6884664883216609</v>
      </c>
      <c r="AR20" s="168">
        <f t="shared" si="0"/>
        <v>30.726069230616062</v>
      </c>
      <c r="AS20" s="165">
        <v>2</v>
      </c>
      <c r="AT20" s="168">
        <f t="shared" si="1"/>
        <v>61.452138461232124</v>
      </c>
      <c r="AV20" s="171">
        <f>Inputs!$B$3/20*(20-A20)</f>
        <v>113.84418434528165</v>
      </c>
      <c r="AX20" s="168">
        <f>AR20+'Cp Calcs'!D36</f>
        <v>42.443068034331517</v>
      </c>
      <c r="AZ20" s="168"/>
      <c r="BA20" s="166"/>
      <c r="BI20" s="168">
        <f t="shared" si="7"/>
        <v>0.1</v>
      </c>
      <c r="BJ20" s="166">
        <f t="shared" si="8"/>
        <v>2.2285153827270259</v>
      </c>
      <c r="BK20" s="165">
        <v>2</v>
      </c>
      <c r="BL20" s="165">
        <f t="shared" si="9"/>
        <v>4.4570307654540517</v>
      </c>
      <c r="BN20" s="165">
        <v>2</v>
      </c>
      <c r="BO20" s="165">
        <f>'Cp Calcs'!D36</f>
        <v>11.716998803715457</v>
      </c>
      <c r="BP20" s="165">
        <f t="shared" si="10"/>
        <v>23.433997607430914</v>
      </c>
      <c r="BR20" s="165">
        <v>2</v>
      </c>
      <c r="BS20" s="165">
        <f>'Cp Calcs'!D36</f>
        <v>11.716998803715457</v>
      </c>
      <c r="BT20" s="165">
        <f t="shared" si="6"/>
        <v>23.433997607430914</v>
      </c>
    </row>
    <row r="21" spans="1:72" s="165" customFormat="1" x14ac:dyDescent="0.25">
      <c r="A21">
        <f>'Section Calcs'!A133</f>
        <v>1</v>
      </c>
      <c r="B21" s="166">
        <f>'Section Calcs'!V132</f>
        <v>0</v>
      </c>
      <c r="C21" s="166">
        <f>'Section Calcs'!W132</f>
        <v>4.8514589937413644E-2</v>
      </c>
      <c r="D21" s="166">
        <f>'Section Calcs'!X132</f>
        <v>0.1455437698122409</v>
      </c>
      <c r="E21" s="166">
        <f>'Section Calcs'!Y132</f>
        <v>0.24257294968706822</v>
      </c>
      <c r="F21" s="166">
        <f>'Section Calcs'!Z132</f>
        <v>0.3396021295618955</v>
      </c>
      <c r="G21" s="166">
        <f>'Section Calcs'!AA132</f>
        <v>0.48514589937413644</v>
      </c>
      <c r="H21" s="166">
        <f>'Section Calcs'!AB132</f>
        <v>0.72771884906120454</v>
      </c>
      <c r="I21" s="166">
        <f>'Section Calcs'!AC132</f>
        <v>0.97029179874827287</v>
      </c>
      <c r="J21" s="166">
        <f>'Section Calcs'!AD132</f>
        <v>1.4554376981224091</v>
      </c>
      <c r="K21" s="166">
        <f>'Section Calcs'!AE132</f>
        <v>1.9405835974965457</v>
      </c>
      <c r="L21" s="166">
        <f>'Section Calcs'!AF132</f>
        <v>2.425729496870682</v>
      </c>
      <c r="M21" s="166">
        <f>'Section Calcs'!AG132</f>
        <v>2.9108753962448182</v>
      </c>
      <c r="N21" s="166">
        <f>'Section Calcs'!AH132</f>
        <v>3.3960212956189544</v>
      </c>
      <c r="O21" s="166">
        <f>'Section Calcs'!AI132</f>
        <v>3.8811671949930915</v>
      </c>
      <c r="P21" s="166">
        <f>'Section Calcs'!AJ132</f>
        <v>4.3663130943672277</v>
      </c>
      <c r="Q21" s="166">
        <f>'Section Calcs'!AK132</f>
        <v>4.8514589937413639</v>
      </c>
      <c r="R21" s="166">
        <f>'Section Calcs'!AL132</f>
        <v>6.3029825550590042</v>
      </c>
      <c r="S21" s="166">
        <f>'Section Calcs'!AM132</f>
        <v>7.7545061163766444</v>
      </c>
      <c r="T21" s="166">
        <f>'Section Calcs'!AN132</f>
        <v>9.2060296776942856</v>
      </c>
      <c r="U21" s="166">
        <f>'Section Calcs'!AO132</f>
        <v>10.657553239011925</v>
      </c>
      <c r="W21" s="164">
        <f>'Section Calcs'!V135</f>
        <v>0</v>
      </c>
      <c r="X21" s="167">
        <f>'Section Calcs'!W135</f>
        <v>1.5267445869010648E-4</v>
      </c>
      <c r="Y21" s="167">
        <f>'Section Calcs'!X135</f>
        <v>1.3821705012613875E-3</v>
      </c>
      <c r="Z21" s="167">
        <f>'Section Calcs'!Y135</f>
        <v>3.8962320303126243E-3</v>
      </c>
      <c r="AA21" s="167">
        <f>'Section Calcs'!Z135</f>
        <v>7.7517001642435556E-3</v>
      </c>
      <c r="AB21" s="167">
        <f>'Section Calcs'!AA135</f>
        <v>1.6157498887777906E-2</v>
      </c>
      <c r="AC21" s="167">
        <f>'Section Calcs'!AB135</f>
        <v>3.7484378513937378E-2</v>
      </c>
      <c r="AD21" s="167">
        <f>'Section Calcs'!AC135</f>
        <v>6.8309499516827313E-2</v>
      </c>
      <c r="AE21" s="167">
        <f>'Section Calcs'!AD135</f>
        <v>0.15884523341741333</v>
      </c>
      <c r="AF21" s="167">
        <f>'Section Calcs'!AE135</f>
        <v>0.28586674278371083</v>
      </c>
      <c r="AG21" s="167">
        <f>'Section Calcs'!AF135</f>
        <v>0.44318888047380284</v>
      </c>
      <c r="AH21" s="167">
        <f>'Section Calcs'!AG135</f>
        <v>0.62033931000968223</v>
      </c>
      <c r="AI21" s="167">
        <f>'Section Calcs'!AH135</f>
        <v>0.80255850557725184</v>
      </c>
      <c r="AJ21" s="167">
        <f>'Section Calcs'!AI135</f>
        <v>0.97079975202632318</v>
      </c>
      <c r="AK21" s="167">
        <f>'Section Calcs'!AJ135</f>
        <v>1.1017291448706124</v>
      </c>
      <c r="AL21" s="167">
        <f>'Section Calcs'!AK135</f>
        <v>1.1677255902877577</v>
      </c>
      <c r="AM21" s="167">
        <f>'Section Calcs'!AL135</f>
        <v>1.3100043233101375</v>
      </c>
      <c r="AN21" s="167">
        <f>'Section Calcs'!AM135</f>
        <v>1.5977088423028389</v>
      </c>
      <c r="AO21" s="167">
        <f>'Section Calcs'!AN135</f>
        <v>2.030839147265862</v>
      </c>
      <c r="AP21" s="167">
        <f>'Section Calcs'!AO135</f>
        <v>2.6093952381992067</v>
      </c>
      <c r="AR21" s="168">
        <f t="shared" si="0"/>
        <v>19.678703988539784</v>
      </c>
      <c r="AS21" s="165">
        <v>4</v>
      </c>
      <c r="AT21" s="168">
        <f t="shared" si="1"/>
        <v>78.714815954159135</v>
      </c>
      <c r="AV21" s="171">
        <f>Inputs!$B$3/20*(20-A21)</f>
        <v>120.16886125335284</v>
      </c>
      <c r="AX21" s="168">
        <f>AR21+'Cp Calcs'!D37</f>
        <v>24.578350190404578</v>
      </c>
      <c r="AZ21" s="168"/>
      <c r="BA21" s="166"/>
      <c r="BI21" s="168">
        <f t="shared" si="7"/>
        <v>0.05</v>
      </c>
      <c r="BJ21" s="166">
        <f t="shared" si="8"/>
        <v>1.1677255902877577</v>
      </c>
      <c r="BK21" s="165">
        <v>4</v>
      </c>
      <c r="BL21" s="165">
        <f t="shared" si="9"/>
        <v>4.6709023611510307</v>
      </c>
      <c r="BN21" s="165">
        <v>4</v>
      </c>
      <c r="BO21" s="165">
        <f>'Cp Calcs'!D37</f>
        <v>4.8996462018647922</v>
      </c>
      <c r="BP21" s="165">
        <f t="shared" si="10"/>
        <v>19.598584807459169</v>
      </c>
      <c r="BR21" s="165">
        <v>4</v>
      </c>
      <c r="BS21" s="165">
        <f>'Cp Calcs'!D37</f>
        <v>4.8996462018647922</v>
      </c>
      <c r="BT21" s="165">
        <f t="shared" si="6"/>
        <v>19.598584807459169</v>
      </c>
    </row>
    <row r="22" spans="1:72" s="165" customFormat="1" x14ac:dyDescent="0.25">
      <c r="A22">
        <v>0</v>
      </c>
      <c r="B22" s="166">
        <f>'Section Calcs'!V137</f>
        <v>0</v>
      </c>
      <c r="C22" s="166">
        <f>'Section Calcs'!W137</f>
        <v>0</v>
      </c>
      <c r="D22" s="166">
        <f>'Section Calcs'!X137</f>
        <v>0</v>
      </c>
      <c r="E22" s="166">
        <f>'Section Calcs'!Y137</f>
        <v>0</v>
      </c>
      <c r="F22" s="166">
        <f>'Section Calcs'!Z137</f>
        <v>0</v>
      </c>
      <c r="G22" s="166">
        <f>'Section Calcs'!AA137</f>
        <v>0</v>
      </c>
      <c r="H22" s="166">
        <f>'Section Calcs'!AB137</f>
        <v>0</v>
      </c>
      <c r="I22" s="166">
        <f>'Section Calcs'!AC137</f>
        <v>0</v>
      </c>
      <c r="J22" s="166">
        <f>'Section Calcs'!AD137</f>
        <v>0</v>
      </c>
      <c r="K22" s="166">
        <f>'Section Calcs'!AE137</f>
        <v>0</v>
      </c>
      <c r="L22" s="166">
        <f>'Section Calcs'!AF137</f>
        <v>0</v>
      </c>
      <c r="M22" s="166">
        <f>'Section Calcs'!AG137</f>
        <v>0</v>
      </c>
      <c r="N22" s="166">
        <f>'Section Calcs'!AH137</f>
        <v>0</v>
      </c>
      <c r="O22" s="166">
        <f>'Section Calcs'!AI137</f>
        <v>0</v>
      </c>
      <c r="P22" s="166">
        <f>'Section Calcs'!AJ137</f>
        <v>0</v>
      </c>
      <c r="Q22" s="166">
        <f>'Section Calcs'!AK137</f>
        <v>4.8514589937413639</v>
      </c>
      <c r="R22" s="166">
        <f>'Section Calcs'!AL137</f>
        <v>6.4175142136774248</v>
      </c>
      <c r="S22" s="166">
        <f>'Section Calcs'!AM137</f>
        <v>7.9835694336134848</v>
      </c>
      <c r="T22" s="166">
        <f>'Section Calcs'!AN137</f>
        <v>9.5496246535495448</v>
      </c>
      <c r="U22" s="166">
        <f>'Section Calcs'!AO137</f>
        <v>11.115679873485606</v>
      </c>
      <c r="W22" s="164">
        <f>'Section Calcs'!V140</f>
        <v>0</v>
      </c>
      <c r="X22" s="164">
        <f>'Section Calcs'!W140</f>
        <v>0</v>
      </c>
      <c r="Y22" s="164">
        <f>'Section Calcs'!X140</f>
        <v>0</v>
      </c>
      <c r="Z22" s="164">
        <f>'Section Calcs'!Y140</f>
        <v>0</v>
      </c>
      <c r="AA22" s="164">
        <f>'Section Calcs'!Z140</f>
        <v>0</v>
      </c>
      <c r="AB22" s="164">
        <f>'Section Calcs'!AA140</f>
        <v>0</v>
      </c>
      <c r="AC22" s="164">
        <f>'Section Calcs'!AB140</f>
        <v>0</v>
      </c>
      <c r="AD22" s="164">
        <f>'Section Calcs'!AC140</f>
        <v>0</v>
      </c>
      <c r="AE22" s="164">
        <f>'Section Calcs'!AD140</f>
        <v>0</v>
      </c>
      <c r="AF22" s="164">
        <f>'Section Calcs'!AE140</f>
        <v>0</v>
      </c>
      <c r="AG22" s="164">
        <f>'Section Calcs'!AF140</f>
        <v>0</v>
      </c>
      <c r="AH22" s="164">
        <f>'Section Calcs'!AG140</f>
        <v>0</v>
      </c>
      <c r="AI22" s="164">
        <f>'Section Calcs'!AH140</f>
        <v>0</v>
      </c>
      <c r="AJ22" s="164">
        <f>'Section Calcs'!AI140</f>
        <v>0</v>
      </c>
      <c r="AK22" s="164">
        <f>'Section Calcs'!AJ140</f>
        <v>0</v>
      </c>
      <c r="AL22" s="164">
        <f>'Section Calcs'!AK140</f>
        <v>0</v>
      </c>
      <c r="AM22" s="167">
        <f>'Section Calcs'!AL140</f>
        <v>0.11278119606000885</v>
      </c>
      <c r="AN22" s="167">
        <f>'Section Calcs'!AM140</f>
        <v>0.36691156815107367</v>
      </c>
      <c r="AO22" s="167">
        <f>'Section Calcs'!AN140</f>
        <v>0.76239111627319445</v>
      </c>
      <c r="AP22" s="167">
        <f>'Section Calcs'!AO140</f>
        <v>1.2992198404263713</v>
      </c>
      <c r="AR22" s="168">
        <f t="shared" si="0"/>
        <v>5.7774201589011653</v>
      </c>
      <c r="AS22" s="165">
        <v>1</v>
      </c>
      <c r="AT22" s="168">
        <f t="shared" si="1"/>
        <v>5.7774201589011653</v>
      </c>
      <c r="AV22" s="171">
        <f>Inputs!$B$3/20*(20-A22)</f>
        <v>126.49353816142406</v>
      </c>
      <c r="AX22" s="168">
        <f>AR22+'Cp Calcs'!D38</f>
        <v>5.7774201588830305</v>
      </c>
      <c r="AZ22" s="168"/>
      <c r="BA22" s="166"/>
      <c r="BI22" s="168">
        <f t="shared" si="7"/>
        <v>0</v>
      </c>
      <c r="BJ22" s="166">
        <f t="shared" si="8"/>
        <v>0</v>
      </c>
      <c r="BK22" s="165">
        <v>1</v>
      </c>
      <c r="BL22" s="165">
        <f t="shared" si="9"/>
        <v>0</v>
      </c>
      <c r="BN22" s="165">
        <v>1</v>
      </c>
      <c r="BO22" s="165">
        <f>'Cp Calcs'!D38</f>
        <v>-1.8134651154114019E-11</v>
      </c>
      <c r="BP22" s="165">
        <f t="shared" si="10"/>
        <v>-1.8134651154114019E-11</v>
      </c>
      <c r="BR22" s="165">
        <v>1</v>
      </c>
      <c r="BS22" s="165">
        <f>'Cp Calcs'!D38</f>
        <v>-1.8134651154114019E-11</v>
      </c>
      <c r="BT22" s="165">
        <f t="shared" si="6"/>
        <v>-1.8134651154114019E-11</v>
      </c>
    </row>
    <row r="23" spans="1:72" x14ac:dyDescent="0.25">
      <c r="B23">
        <v>1</v>
      </c>
      <c r="C23">
        <v>2</v>
      </c>
      <c r="D23">
        <v>3</v>
      </c>
      <c r="E23">
        <v>4</v>
      </c>
      <c r="F23">
        <v>5</v>
      </c>
      <c r="G23">
        <v>6</v>
      </c>
      <c r="H23">
        <v>7</v>
      </c>
      <c r="I23">
        <v>8</v>
      </c>
      <c r="J23">
        <v>9</v>
      </c>
      <c r="K23">
        <v>10</v>
      </c>
      <c r="L23">
        <v>11</v>
      </c>
      <c r="M23">
        <v>12</v>
      </c>
      <c r="N23">
        <v>13</v>
      </c>
      <c r="O23">
        <v>14</v>
      </c>
      <c r="P23">
        <v>15</v>
      </c>
      <c r="Q23">
        <v>16</v>
      </c>
      <c r="R23">
        <v>17</v>
      </c>
      <c r="S23">
        <v>18</v>
      </c>
      <c r="T23">
        <v>19</v>
      </c>
      <c r="U23">
        <v>20</v>
      </c>
      <c r="W23">
        <v>1</v>
      </c>
      <c r="X23">
        <v>2</v>
      </c>
      <c r="Y23">
        <v>3</v>
      </c>
      <c r="Z23">
        <v>4</v>
      </c>
      <c r="AA23">
        <v>5</v>
      </c>
      <c r="AB23">
        <v>6</v>
      </c>
      <c r="AC23">
        <v>7</v>
      </c>
      <c r="AD23">
        <v>8</v>
      </c>
      <c r="AE23">
        <v>9</v>
      </c>
      <c r="AF23">
        <v>10</v>
      </c>
      <c r="AG23">
        <v>11</v>
      </c>
      <c r="AH23">
        <v>12</v>
      </c>
      <c r="AI23">
        <v>13</v>
      </c>
      <c r="AJ23">
        <v>14</v>
      </c>
      <c r="AK23">
        <v>15</v>
      </c>
      <c r="AL23">
        <v>16</v>
      </c>
      <c r="AM23">
        <v>17</v>
      </c>
      <c r="AN23">
        <v>18</v>
      </c>
      <c r="AO23">
        <v>19</v>
      </c>
      <c r="AP23">
        <v>20</v>
      </c>
      <c r="AR23">
        <v>0</v>
      </c>
      <c r="AS23" s="22"/>
      <c r="AV23" s="15">
        <f>AV22+'Profile Calcs'!B16</f>
        <v>131.58388589883165</v>
      </c>
      <c r="AX23" s="19">
        <f>AR23+'Cp Calcs'!D39</f>
        <v>0</v>
      </c>
      <c r="BC23">
        <f>SUM(BC2:BC22)</f>
        <v>183.47859703304366</v>
      </c>
      <c r="BG23">
        <f>SUM(BG2:BG22)</f>
        <v>1044.1440458433058</v>
      </c>
      <c r="BL23">
        <f>SUM(BL2:BL22)</f>
        <v>132.45710966196762</v>
      </c>
      <c r="BP23">
        <f>SUM(BP2:BP22)</f>
        <v>979.26471141660693</v>
      </c>
      <c r="BT23">
        <f>SUM(BT2:BT22)</f>
        <v>2023.4087572599128</v>
      </c>
    </row>
    <row r="24" spans="1:72" x14ac:dyDescent="0.25">
      <c r="BC24">
        <f>Inputs!B3/20</f>
        <v>6.3246769080712024</v>
      </c>
      <c r="BG24">
        <f>BC24</f>
        <v>6.3246769080712024</v>
      </c>
      <c r="BL24">
        <f>BC24</f>
        <v>6.3246769080712024</v>
      </c>
      <c r="BP24">
        <f>BL24</f>
        <v>6.3246769080712024</v>
      </c>
      <c r="BT24">
        <f>BP24</f>
        <v>6.3246769080712024</v>
      </c>
    </row>
    <row r="25" spans="1:72" x14ac:dyDescent="0.25">
      <c r="AS25" s="169" t="s">
        <v>235</v>
      </c>
      <c r="AT25" s="15">
        <f>SUM(AT2:AT22)/3*(Inputs!B3/20)</f>
        <v>6186.4684788313434</v>
      </c>
      <c r="BC25">
        <f>BC23*BC24/3</f>
        <v>386.81428192673087</v>
      </c>
      <c r="BG25">
        <f>BG23*BG24/3</f>
        <v>2201.2912451483985</v>
      </c>
      <c r="BL25">
        <f>BL23*BL24/3</f>
        <v>279.24947426296723</v>
      </c>
      <c r="BP25">
        <f>BP23*BP24/3</f>
        <v>2064.5109690618747</v>
      </c>
      <c r="BT25">
        <f>BT23*BT24/3</f>
        <v>4265.8022142102736</v>
      </c>
    </row>
    <row r="26" spans="1:72" x14ac:dyDescent="0.25">
      <c r="AS26" s="169" t="s">
        <v>240</v>
      </c>
      <c r="AT26" s="15">
        <f>1/2*(AV2-AV1)*AR2</f>
        <v>19.973180134198447</v>
      </c>
    </row>
    <row r="27" spans="1:72" x14ac:dyDescent="0.25">
      <c r="AS27" s="169" t="s">
        <v>241</v>
      </c>
      <c r="AT27" s="15">
        <f>1/2*(AV23-AV22)*AR22</f>
        <v>14.704538816957795</v>
      </c>
      <c r="BB27" t="s">
        <v>293</v>
      </c>
      <c r="BC27">
        <f>BC25*2/(Inputs!B3*Inputs!B4/2)</f>
        <v>0.86147632364366322</v>
      </c>
      <c r="BF27" t="s">
        <v>295</v>
      </c>
      <c r="BG27">
        <f>BG25/(BC27*Inputs!B3*Inputs!B4*Inputs!B6/2)</f>
        <v>0.58650625081336782</v>
      </c>
      <c r="BK27" t="s">
        <v>292</v>
      </c>
      <c r="BL27">
        <f>BL25*2/(Inputs!B3*Inputs!B4/2)</f>
        <v>0.62191811861035196</v>
      </c>
      <c r="BO27" t="s">
        <v>292</v>
      </c>
      <c r="BP27">
        <f>BP25/(BL27*Inputs!B3*Inputs!B4*Inputs!B6/2)</f>
        <v>0.76194297618213191</v>
      </c>
      <c r="BS27" t="s">
        <v>304</v>
      </c>
      <c r="BT27">
        <f>BT25/(Inputs!B16*Inputs!B3*Inputs!B4*Inputs!B6)</f>
        <v>0.66005621611183241</v>
      </c>
    </row>
    <row r="28" spans="1:72" x14ac:dyDescent="0.25">
      <c r="AS28" s="169" t="s">
        <v>236</v>
      </c>
      <c r="AT28" s="170">
        <f>Inputs!B10*Inputs!B3*Inputs!B4*Inputs!B6*Inputs!B13</f>
        <v>4265.7452673643502</v>
      </c>
    </row>
    <row r="29" spans="1:72" x14ac:dyDescent="0.25">
      <c r="AT29" s="15">
        <f>SUM(AT25:AT28)</f>
        <v>10486.891465146851</v>
      </c>
    </row>
    <row r="31" spans="1:72" x14ac:dyDescent="0.25">
      <c r="AS31" t="s">
        <v>237</v>
      </c>
      <c r="AT31" s="15">
        <f>1.3901*Inputs!B3*Inputs!B4*Inputs!B5*Inputs!B10*Inputs!B13</f>
        <v>10953.077741604038</v>
      </c>
    </row>
    <row r="32" spans="1:72" x14ac:dyDescent="0.25">
      <c r="AS32" t="s">
        <v>238</v>
      </c>
      <c r="AT32" s="15">
        <f>0.6654*Inputs!B3*Inputs!B4*Inputs!B5</f>
        <v>10709.507927671089</v>
      </c>
    </row>
  </sheetData>
  <phoneticPr fontId="12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selection activeCell="B22" sqref="B22"/>
    </sheetView>
  </sheetViews>
  <sheetFormatPr defaultRowHeight="15" x14ac:dyDescent="0.25"/>
  <cols>
    <col min="1" max="1" width="20.85546875" bestFit="1" customWidth="1"/>
    <col min="6" max="7" width="12" style="16" bestFit="1" customWidth="1"/>
    <col min="12" max="12" width="40.7109375" bestFit="1" customWidth="1"/>
  </cols>
  <sheetData>
    <row r="1" spans="1:7" x14ac:dyDescent="0.25">
      <c r="A1" t="s">
        <v>275</v>
      </c>
    </row>
    <row r="2" spans="1:7" x14ac:dyDescent="0.25">
      <c r="A2" t="s">
        <v>13</v>
      </c>
      <c r="B2" s="22">
        <f>Inputs!B3</f>
        <v>126.49353816142404</v>
      </c>
    </row>
    <row r="3" spans="1:7" x14ac:dyDescent="0.25">
      <c r="A3" t="s">
        <v>257</v>
      </c>
      <c r="B3" s="22">
        <f>Inputs!B4</f>
        <v>14.19877265707551</v>
      </c>
    </row>
    <row r="4" spans="1:7" x14ac:dyDescent="0.25">
      <c r="A4" t="s">
        <v>14</v>
      </c>
      <c r="B4" s="22">
        <f>Inputs!B5</f>
        <v>8.9612289685442565</v>
      </c>
    </row>
    <row r="5" spans="1:7" x14ac:dyDescent="0.25">
      <c r="A5" t="s">
        <v>15</v>
      </c>
      <c r="B5" s="22">
        <f>Inputs!B6</f>
        <v>4.8514589937413639</v>
      </c>
    </row>
    <row r="7" spans="1:7" x14ac:dyDescent="0.25">
      <c r="A7" t="s">
        <v>258</v>
      </c>
    </row>
    <row r="8" spans="1:7" x14ac:dyDescent="0.25">
      <c r="A8" t="s">
        <v>259</v>
      </c>
      <c r="C8" s="13">
        <f>'Section Calcs'!AK125</f>
        <v>3.19606332518075</v>
      </c>
    </row>
    <row r="9" spans="1:7" x14ac:dyDescent="0.25">
      <c r="A9" t="s">
        <v>260</v>
      </c>
      <c r="C9" s="13">
        <f>'Section Calcs'!AO125</f>
        <v>4.5708974194079124</v>
      </c>
    </row>
    <row r="10" spans="1:7" x14ac:dyDescent="0.25">
      <c r="A10" s="22" t="s">
        <v>261</v>
      </c>
      <c r="B10" s="13">
        <f>'Profile Calcs'!C16</f>
        <v>12.121228968544258</v>
      </c>
      <c r="C10">
        <f>B10-B5</f>
        <v>7.2697699748028946</v>
      </c>
    </row>
    <row r="11" spans="1:7" x14ac:dyDescent="0.25">
      <c r="A11" t="s">
        <v>22</v>
      </c>
      <c r="B11" s="13">
        <f>'Section Calcs'!AO127</f>
        <v>10.25648922204091</v>
      </c>
      <c r="C11" s="13">
        <f>B11-B5</f>
        <v>5.4050302282995464</v>
      </c>
    </row>
    <row r="12" spans="1:7" x14ac:dyDescent="0.25">
      <c r="A12" t="s">
        <v>262</v>
      </c>
      <c r="C12" s="13">
        <f>C9-C8</f>
        <v>1.3748340942271624</v>
      </c>
    </row>
    <row r="13" spans="1:7" x14ac:dyDescent="0.25">
      <c r="A13" t="s">
        <v>101</v>
      </c>
    </row>
    <row r="14" spans="1:7" x14ac:dyDescent="0.25">
      <c r="G14" s="209"/>
    </row>
    <row r="15" spans="1:7" x14ac:dyDescent="0.25">
      <c r="G15" s="209"/>
    </row>
    <row r="16" spans="1:7" x14ac:dyDescent="0.25">
      <c r="A16" t="s">
        <v>263</v>
      </c>
      <c r="C16" s="13">
        <f>100*(C10+C11+C12)/B2</f>
        <v>11.106997639199751</v>
      </c>
    </row>
    <row r="18" spans="1:12" x14ac:dyDescent="0.25">
      <c r="A18" t="s">
        <v>276</v>
      </c>
    </row>
    <row r="19" spans="1:12" x14ac:dyDescent="0.25">
      <c r="A19" t="s">
        <v>277</v>
      </c>
      <c r="B19" s="15">
        <f>'Offset Data'!AT28</f>
        <v>4265.7452673643502</v>
      </c>
    </row>
    <row r="20" spans="1:12" x14ac:dyDescent="0.25">
      <c r="A20" t="s">
        <v>114</v>
      </c>
      <c r="B20">
        <f>B2</f>
        <v>126.49353816142404</v>
      </c>
    </row>
    <row r="21" spans="1:12" x14ac:dyDescent="0.25">
      <c r="A21" t="s">
        <v>100</v>
      </c>
      <c r="B21">
        <f>B5</f>
        <v>4.8514589937413639</v>
      </c>
      <c r="I21" s="209"/>
    </row>
    <row r="22" spans="1:12" x14ac:dyDescent="0.25">
      <c r="E22" s="16" t="s">
        <v>265</v>
      </c>
      <c r="F22" s="16" t="s">
        <v>281</v>
      </c>
      <c r="G22" s="16" t="s">
        <v>285</v>
      </c>
      <c r="I22" s="209"/>
      <c r="J22" s="16" t="s">
        <v>287</v>
      </c>
    </row>
    <row r="23" spans="1:12" x14ac:dyDescent="0.25">
      <c r="A23" t="s">
        <v>279</v>
      </c>
      <c r="B23" s="13">
        <f>B20/B21</f>
        <v>26.073298429319372</v>
      </c>
      <c r="D23" t="s">
        <v>282</v>
      </c>
      <c r="E23" s="217">
        <f>'Profile Calcs'!K65</f>
        <v>-4.0241958691293607E-2</v>
      </c>
      <c r="F23" s="209">
        <f>0.1*$B$24*(5.4-($B$20-120)/40*0.5)</f>
        <v>8.6260998044021431</v>
      </c>
      <c r="G23" s="209">
        <f>0.1*$B$24*(5.15-($B$20-120)/40*0.45)</f>
        <v>8.2338129175229646</v>
      </c>
      <c r="I23" s="209">
        <f>IF(B23&lt;27.5,F23,G23)</f>
        <v>8.6260998044021431</v>
      </c>
      <c r="J23" s="209">
        <f>'Profile Calcs'!J65</f>
        <v>6.6690144748028946</v>
      </c>
      <c r="L23" s="218" t="str">
        <f>IF(J23&lt;I23,"Inadequate FB0 per Walden &amp; Grundmann","OK")</f>
        <v>Inadequate FB0 per Walden &amp; Grundmann</v>
      </c>
    </row>
    <row r="24" spans="1:12" x14ac:dyDescent="0.25">
      <c r="A24" t="s">
        <v>280</v>
      </c>
      <c r="B24" s="13">
        <f>B19^(1/3)</f>
        <v>16.218037709001219</v>
      </c>
      <c r="D24" t="s">
        <v>283</v>
      </c>
      <c r="E24" s="217">
        <f>1.5/20</f>
        <v>7.4999999999999997E-2</v>
      </c>
      <c r="F24" s="209">
        <f>0.1*$B$24*(5.3-($B$20-120)/40*0.19)</f>
        <v>8.5455365735564097</v>
      </c>
      <c r="G24" s="209">
        <f>0.1*$B$24*(5.1-($B$20-120)/40*0.09)</f>
        <v>8.2475039310680902</v>
      </c>
      <c r="I24" s="209">
        <f>IF(B24&lt;27.5,F24,G24)</f>
        <v>8.5455365735564097</v>
      </c>
      <c r="J24" s="209">
        <f>_xll.Spline('Profile Calcs'!$K$45:$K$65,'Profile Calcs'!$J$45:$J$65,'Fbd Calcs'!E24,TRUE)</f>
        <v>5.5991097263665122</v>
      </c>
      <c r="L24" s="218" t="str">
        <f>IF(J24&lt;I24,"Inadequate FB1.5 per Walden &amp; Grundmann","OK")</f>
        <v>Inadequate FB1.5 per Walden &amp; Grundmann</v>
      </c>
    </row>
    <row r="25" spans="1:12" x14ac:dyDescent="0.25">
      <c r="D25" t="s">
        <v>284</v>
      </c>
      <c r="E25" s="217">
        <f>6/20</f>
        <v>0.3</v>
      </c>
      <c r="F25" s="209">
        <f>0.28*$B$24</f>
        <v>4.5410505585203422</v>
      </c>
      <c r="G25" s="209">
        <f>0.1*$B$24*(2.6-($B$20-120)/40*0.16)</f>
        <v>4.1745648256335919</v>
      </c>
      <c r="I25" s="209">
        <f>IF(B25&lt;27.5,F25,G25)</f>
        <v>4.5410505585203422</v>
      </c>
      <c r="J25" s="209">
        <f>_xll.Spline('Profile Calcs'!$K$45:$K$65,'Profile Calcs'!$J$45:$J$65,'Fbd Calcs'!E25,TRUE)</f>
        <v>4.3398268552754793</v>
      </c>
      <c r="L25" s="218" t="str">
        <f>IF(J25&lt;I25,"Inadequate FB6 per Walden &amp; Grundmann","OK")</f>
        <v>Inadequate FB6 per Walden &amp; Grundmann</v>
      </c>
    </row>
    <row r="26" spans="1:12" x14ac:dyDescent="0.25">
      <c r="L26" s="218"/>
    </row>
    <row r="27" spans="1:12" x14ac:dyDescent="0.25">
      <c r="A27" t="s">
        <v>286</v>
      </c>
      <c r="J27" s="16"/>
      <c r="L27" s="218"/>
    </row>
    <row r="28" spans="1:12" x14ac:dyDescent="0.25">
      <c r="A28" t="s">
        <v>114</v>
      </c>
      <c r="B28">
        <f>B2</f>
        <v>126.49353816142404</v>
      </c>
      <c r="D28" t="s">
        <v>282</v>
      </c>
      <c r="I28" s="209">
        <f>1.011827*B29-0.0000209*B28^2+0.027806*B28</f>
        <v>8.0917036637680511</v>
      </c>
      <c r="J28" s="209">
        <f>J23</f>
        <v>6.6690144748028946</v>
      </c>
      <c r="L28" s="218" t="str">
        <f>IF(J28&lt;I28,"Inadequate FB0 per Gale","OK")</f>
        <v>Inadequate FB0 per Gale</v>
      </c>
    </row>
    <row r="29" spans="1:12" x14ac:dyDescent="0.25">
      <c r="A29" t="s">
        <v>100</v>
      </c>
      <c r="B29">
        <f>B5</f>
        <v>4.8514589937413639</v>
      </c>
    </row>
    <row r="31" spans="1:12" x14ac:dyDescent="0.25">
      <c r="A31" t="s">
        <v>278</v>
      </c>
      <c r="L31" s="218"/>
    </row>
    <row r="32" spans="1:12" x14ac:dyDescent="0.25">
      <c r="A32" t="s">
        <v>114</v>
      </c>
      <c r="B32">
        <f>B2</f>
        <v>126.49353816142404</v>
      </c>
      <c r="D32" t="s">
        <v>282</v>
      </c>
      <c r="I32" s="209">
        <f>10.5-0.045*(B32-150)-0.00002*(B32-150)^2-0.2*((B32/B33)-27.5)</f>
        <v>11.832080021908673</v>
      </c>
      <c r="J32" s="209">
        <f>J23</f>
        <v>6.6690144748028946</v>
      </c>
      <c r="L32" s="218" t="str">
        <f>IF(J32&lt;I32,"Inadequate FB0 per Bales","OK")</f>
        <v>Inadequate FB0 per Bales</v>
      </c>
    </row>
    <row r="33" spans="1:12" x14ac:dyDescent="0.25">
      <c r="A33" t="s">
        <v>100</v>
      </c>
      <c r="B33">
        <f>B5</f>
        <v>4.8514589937413639</v>
      </c>
      <c r="J33" s="16"/>
      <c r="L33" s="218"/>
    </row>
    <row r="34" spans="1:12" x14ac:dyDescent="0.25">
      <c r="J34" s="16"/>
      <c r="L34" s="218"/>
    </row>
    <row r="35" spans="1:12" x14ac:dyDescent="0.25">
      <c r="A35" t="s">
        <v>291</v>
      </c>
    </row>
    <row r="36" spans="1:12" x14ac:dyDescent="0.25">
      <c r="A36" t="s">
        <v>290</v>
      </c>
    </row>
    <row r="38" spans="1:12" x14ac:dyDescent="0.25">
      <c r="A38" t="s">
        <v>293</v>
      </c>
      <c r="B38" s="217">
        <f>'Offset Data'!BC27</f>
        <v>0.86147632364366322</v>
      </c>
    </row>
    <row r="39" spans="1:12" x14ac:dyDescent="0.25">
      <c r="A39" t="s">
        <v>295</v>
      </c>
      <c r="B39" s="217">
        <f>'Offset Data'!BG27</f>
        <v>0.58650625081336782</v>
      </c>
    </row>
    <row r="40" spans="1:12" x14ac:dyDescent="0.25">
      <c r="A40" t="s">
        <v>292</v>
      </c>
      <c r="B40" s="217">
        <f>'Offset Data'!BL27</f>
        <v>0.62191811861035196</v>
      </c>
      <c r="D40" t="s">
        <v>303</v>
      </c>
      <c r="F40" s="16" t="str">
        <f>IF(B40&gt;0.7,"Out of Range","OK")</f>
        <v>OK</v>
      </c>
    </row>
    <row r="41" spans="1:12" x14ac:dyDescent="0.25">
      <c r="A41" t="s">
        <v>294</v>
      </c>
      <c r="B41" s="217">
        <f>'Offset Data'!BP27</f>
        <v>0.76194297618213191</v>
      </c>
      <c r="D41" t="s">
        <v>302</v>
      </c>
      <c r="F41" s="16" t="str">
        <f>IF(B41&lt;0.68,"Out of Range","OK")</f>
        <v>OK</v>
      </c>
    </row>
    <row r="42" spans="1:12" x14ac:dyDescent="0.25">
      <c r="A42" t="s">
        <v>296</v>
      </c>
      <c r="B42" s="217">
        <f>Profile!$H$19</f>
        <v>0.72499999999999998</v>
      </c>
    </row>
    <row r="43" spans="1:12" x14ac:dyDescent="0.25">
      <c r="A43" t="s">
        <v>297</v>
      </c>
      <c r="B43" s="217">
        <f>B5/B2</f>
        <v>3.8353413654618473E-2</v>
      </c>
    </row>
    <row r="44" spans="1:12" x14ac:dyDescent="0.25">
      <c r="B44" s="217"/>
    </row>
    <row r="45" spans="1:12" x14ac:dyDescent="0.25">
      <c r="A45" t="s">
        <v>300</v>
      </c>
      <c r="B45" s="217">
        <f>Inputs!B3/Inputs!B4</f>
        <v>8.9087656529516988</v>
      </c>
      <c r="F45" s="16" t="str">
        <f>IF(B45&lt;8,"Out of Range",IF(B45&gt;9.8,"Out of Range","OK"))</f>
        <v>OK</v>
      </c>
    </row>
    <row r="46" spans="1:12" x14ac:dyDescent="0.25">
      <c r="A46" t="s">
        <v>301</v>
      </c>
      <c r="B46" s="217">
        <f>Inputs!B4/Inputs!B6</f>
        <v>2.9267015706806285</v>
      </c>
      <c r="F46" s="16" t="str">
        <f>IF(B46&lt;2.5,"Out of Range",IF(B46&gt;3.7,"Out of Range","OK"))</f>
        <v>OK</v>
      </c>
    </row>
    <row r="48" spans="1:12" x14ac:dyDescent="0.25">
      <c r="A48" t="s">
        <v>298</v>
      </c>
      <c r="B48" s="219" t="s">
        <v>299</v>
      </c>
    </row>
    <row r="50" spans="2:2" x14ac:dyDescent="0.25">
      <c r="B50" s="209">
        <f xml:space="preserve"> 8.42 + 45.1 *B40 + 10.1 * B38 - 378 * B43 + 1.27 *B42 - 23.5 * B41 - 15.9 * B39</f>
        <v>4.3614683284694404</v>
      </c>
    </row>
  </sheetData>
  <phoneticPr fontId="12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51"/>
  <sheetViews>
    <sheetView workbookViewId="0">
      <selection activeCell="B22" sqref="B22"/>
    </sheetView>
  </sheetViews>
  <sheetFormatPr defaultRowHeight="15" x14ac:dyDescent="0.25"/>
  <cols>
    <col min="1" max="1" width="25.140625" style="16" bestFit="1" customWidth="1"/>
    <col min="2" max="2" width="9.140625" style="16"/>
    <col min="6" max="6" width="9.140625" style="16"/>
  </cols>
  <sheetData>
    <row r="1" spans="1:12" x14ac:dyDescent="0.25">
      <c r="A1" s="16" t="str">
        <f>'Profile Calcs'!A42</f>
        <v>Profile</v>
      </c>
      <c r="D1" s="16"/>
      <c r="G1" t="s">
        <v>264</v>
      </c>
    </row>
    <row r="2" spans="1:12" x14ac:dyDescent="0.25">
      <c r="A2" s="16" t="str">
        <f>'Profile Calcs'!B43</f>
        <v>Main Pts</v>
      </c>
      <c r="B2" s="16" t="s">
        <v>265</v>
      </c>
      <c r="C2" s="16" t="str">
        <f>'Profile Calcs'!B44</f>
        <v>X</v>
      </c>
      <c r="D2" s="16" t="s">
        <v>254</v>
      </c>
      <c r="G2" s="16" t="s">
        <v>265</v>
      </c>
      <c r="H2" s="16" t="s">
        <v>26</v>
      </c>
      <c r="I2" s="16" t="s">
        <v>254</v>
      </c>
      <c r="J2" s="16" t="s">
        <v>20</v>
      </c>
    </row>
    <row r="3" spans="1:12" x14ac:dyDescent="0.25">
      <c r="A3" s="16">
        <f>'Profile Calcs'!A45</f>
        <v>2</v>
      </c>
      <c r="B3" s="189">
        <f>-C3/Inputs!$B$3*20</f>
        <v>0</v>
      </c>
      <c r="C3" s="190">
        <f>'Profile Calcs'!B45</f>
        <v>0</v>
      </c>
      <c r="D3" s="190">
        <f>'Profile Calcs'!C45</f>
        <v>4.8514589937413639</v>
      </c>
      <c r="F3" s="16">
        <f>'Profile Calcs'!E45</f>
        <v>7</v>
      </c>
      <c r="G3" s="130">
        <f>'Profile Calcs'!G45</f>
        <v>20.154922831660123</v>
      </c>
      <c r="H3" s="130">
        <f>'Profile Calcs'!F45</f>
        <v>-127.47337501735782</v>
      </c>
      <c r="I3" s="130">
        <f>'Profile Calcs'!H45</f>
        <v>9.4612289685442565</v>
      </c>
      <c r="J3" s="130">
        <f>_xll.Spline('CWD Opt2 Calcs'!$C$21:$C$41,'CWD Opt2 Calcs'!$D$21:$D$41,'Xfer Data to Vol'!L3,TRUE)</f>
        <v>4.2420316182169371</v>
      </c>
      <c r="K3" s="130">
        <f>-J3</f>
        <v>-4.2420316182169371</v>
      </c>
      <c r="L3" s="13">
        <f>H3+Inputs!$B$3</f>
        <v>-0.97983685593378311</v>
      </c>
    </row>
    <row r="4" spans="1:12" x14ac:dyDescent="0.25">
      <c r="A4" s="16" t="str">
        <f>'Profile Calcs'!A46</f>
        <v>2a</v>
      </c>
      <c r="B4" s="190">
        <f>-C4/Inputs!$B$3*20</f>
        <v>0.1790356623802605</v>
      </c>
      <c r="C4" s="190">
        <f>'Profile Calcs'!B46</f>
        <v>-1.1323427195776656</v>
      </c>
      <c r="D4" s="190">
        <f>'Profile Calcs'!C46</f>
        <v>3.2343059958275759</v>
      </c>
      <c r="F4" s="16" t="str">
        <f>'Profile Calcs'!E46</f>
        <v>7a</v>
      </c>
      <c r="G4" s="130">
        <f>'Profile Calcs'!G46</f>
        <v>19.139430548494104</v>
      </c>
      <c r="H4" s="130">
        <f>'Profile Calcs'!F46</f>
        <v>-121.05071442369319</v>
      </c>
      <c r="I4" s="130">
        <f>'Profile Calcs'!H46</f>
        <v>9.4112289685442629</v>
      </c>
      <c r="J4" s="130">
        <f>_xll.Spline('CWD Opt2 Calcs'!$C$21:$C$41,'CWD Opt2 Calcs'!$D$21:$D$41,'Xfer Data to Vol'!L4,TRUE)</f>
        <v>5.210567562772356</v>
      </c>
      <c r="K4" s="130">
        <f t="shared" ref="K4:K23" si="0">-J4</f>
        <v>-5.210567562772356</v>
      </c>
      <c r="L4" s="13">
        <f>H4+Inputs!$B$3</f>
        <v>5.4428237377308477</v>
      </c>
    </row>
    <row r="5" spans="1:12" x14ac:dyDescent="0.25">
      <c r="A5" s="16" t="str">
        <f>'Profile Calcs'!A47</f>
        <v>2b</v>
      </c>
      <c r="B5" s="190">
        <f>-C5/Inputs!$B$3*20</f>
        <v>0.358071324760521</v>
      </c>
      <c r="C5" s="190">
        <f>'Profile Calcs'!B47</f>
        <v>-2.2646854391553313</v>
      </c>
      <c r="D5" s="190">
        <f>'Profile Calcs'!C47</f>
        <v>1.617152997913788</v>
      </c>
      <c r="F5" s="16" t="str">
        <f>'Profile Calcs'!E47</f>
        <v>7b</v>
      </c>
      <c r="G5" s="130">
        <f>'Profile Calcs'!G47</f>
        <v>18.123938265328093</v>
      </c>
      <c r="H5" s="130">
        <f>'Profile Calcs'!F47</f>
        <v>-114.62805383002862</v>
      </c>
      <c r="I5" s="130">
        <f>'Profile Calcs'!H47</f>
        <v>9.3612289685442622</v>
      </c>
      <c r="J5" s="130">
        <f>_xll.Spline('CWD Opt2 Calcs'!$C$21:$C$41,'CWD Opt2 Calcs'!$D$21:$D$41,'Xfer Data to Vol'!L5,TRUE)</f>
        <v>5.7389769606427832</v>
      </c>
      <c r="K5" s="130">
        <f t="shared" si="0"/>
        <v>-5.7389769606427832</v>
      </c>
      <c r="L5" s="13">
        <f>H5+Inputs!$B$3</f>
        <v>11.865484331395422</v>
      </c>
    </row>
    <row r="6" spans="1:12" x14ac:dyDescent="0.25">
      <c r="A6" s="16">
        <f>'Profile Calcs'!A48</f>
        <v>3</v>
      </c>
      <c r="B6" s="190">
        <f>-C6/Inputs!$B$3*20</f>
        <v>0.53710698714078142</v>
      </c>
      <c r="C6" s="190">
        <f>'Profile Calcs'!B48</f>
        <v>-3.3970281587329967</v>
      </c>
      <c r="D6" s="190">
        <f>'Profile Calcs'!C48</f>
        <v>0</v>
      </c>
      <c r="F6" s="16" t="str">
        <f>'Profile Calcs'!E48</f>
        <v>7c</v>
      </c>
      <c r="G6" s="130">
        <f>'Profile Calcs'!G48</f>
        <v>17.108445982162081</v>
      </c>
      <c r="H6" s="130">
        <f>'Profile Calcs'!F48</f>
        <v>-108.20539323636405</v>
      </c>
      <c r="I6" s="130">
        <f>'Profile Calcs'!H48</f>
        <v>9.3112289685442615</v>
      </c>
      <c r="J6" s="130">
        <f>_xll.Spline('CWD Opt2 Calcs'!$C$21:$C$41,'CWD Opt2 Calcs'!$D$21:$D$41,'Xfer Data to Vol'!L6,TRUE)</f>
        <v>6.0216362555533625</v>
      </c>
      <c r="K6" s="130">
        <f t="shared" si="0"/>
        <v>-6.0216362555533625</v>
      </c>
      <c r="L6" s="13">
        <f>H6+Inputs!$B$3</f>
        <v>18.288144925059996</v>
      </c>
    </row>
    <row r="7" spans="1:12" x14ac:dyDescent="0.25">
      <c r="A7" s="16" t="str">
        <f>'Profile Calcs'!A49</f>
        <v>3a</v>
      </c>
      <c r="B7" s="190">
        <f>-C7/Inputs!$B$3*20</f>
        <v>3.7501285918580014</v>
      </c>
      <c r="C7" s="190">
        <f>'Profile Calcs'!B49</f>
        <v>-23.718351707221874</v>
      </c>
      <c r="D7" s="190">
        <f>'Profile Calcs'!C49</f>
        <v>0</v>
      </c>
      <c r="F7" s="16" t="str">
        <f>'Profile Calcs'!E49</f>
        <v>7d</v>
      </c>
      <c r="G7" s="130">
        <f>'Profile Calcs'!G49</f>
        <v>16.09295369899607</v>
      </c>
      <c r="H7" s="130">
        <f>'Profile Calcs'!F49</f>
        <v>-101.78273264269947</v>
      </c>
      <c r="I7" s="130">
        <f>'Profile Calcs'!H49</f>
        <v>9.2612289685442608</v>
      </c>
      <c r="J7" s="130">
        <f>_xll.Spline('CWD Opt2 Calcs'!$C$21:$C$41,'CWD Opt2 Calcs'!$D$21:$D$41,'Xfer Data to Vol'!L7,TRUE)</f>
        <v>6.204334804915387</v>
      </c>
      <c r="K7" s="130">
        <f t="shared" si="0"/>
        <v>-6.204334804915387</v>
      </c>
      <c r="L7" s="13">
        <f>H7+Inputs!$B$3</f>
        <v>24.71080551872457</v>
      </c>
    </row>
    <row r="8" spans="1:12" x14ac:dyDescent="0.25">
      <c r="A8" s="16" t="str">
        <f>'Profile Calcs'!A50</f>
        <v>3b</v>
      </c>
      <c r="B8" s="190">
        <f>-C8/Inputs!$B$3*20</f>
        <v>7.5002571837160028</v>
      </c>
      <c r="C8" s="190">
        <f>'Profile Calcs'!B50</f>
        <v>-47.436703414443748</v>
      </c>
      <c r="D8" s="190">
        <f>'Profile Calcs'!C50</f>
        <v>0</v>
      </c>
      <c r="F8" s="16" t="str">
        <f>'Profile Calcs'!E50</f>
        <v>7e</v>
      </c>
      <c r="G8" s="130">
        <f>'Profile Calcs'!G50</f>
        <v>15.077461415830058</v>
      </c>
      <c r="H8" s="130">
        <f>'Profile Calcs'!F50</f>
        <v>-95.360072049034898</v>
      </c>
      <c r="I8" s="130">
        <f>'Profile Calcs'!H50</f>
        <v>9.2112289685442601</v>
      </c>
      <c r="J8" s="130">
        <f>_xll.Spline('CWD Opt2 Calcs'!$C$21:$C$41,'CWD Opt2 Calcs'!$D$21:$D$41,'Xfer Data to Vol'!L8,TRUE)</f>
        <v>6.3612905182820381</v>
      </c>
      <c r="K8" s="130">
        <f t="shared" si="0"/>
        <v>-6.3612905182820381</v>
      </c>
      <c r="L8" s="13">
        <f>H8+Inputs!$B$3</f>
        <v>31.133466112389144</v>
      </c>
    </row>
    <row r="9" spans="1:12" x14ac:dyDescent="0.25">
      <c r="A9" s="16" t="str">
        <f>'Profile Calcs'!A51</f>
        <v>4a</v>
      </c>
      <c r="B9" s="190">
        <f>-C9/Inputs!$B$3*20</f>
        <v>11.787492762714786</v>
      </c>
      <c r="C9" s="190">
        <f>'Profile Calcs'!B51</f>
        <v>-74.55208328039862</v>
      </c>
      <c r="D9" s="190">
        <f>'Profile Calcs'!C51</f>
        <v>0</v>
      </c>
      <c r="F9" s="16" t="str">
        <f>'Profile Calcs'!E51</f>
        <v>7f</v>
      </c>
      <c r="G9" s="130">
        <f>'Profile Calcs'!G51</f>
        <v>14.061969132664046</v>
      </c>
      <c r="H9" s="130">
        <f>'Profile Calcs'!F51</f>
        <v>-88.937411455370324</v>
      </c>
      <c r="I9" s="130">
        <f>'Profile Calcs'!H51</f>
        <v>9.1612289685442594</v>
      </c>
      <c r="J9" s="130">
        <f>_xll.Spline('CWD Opt2 Calcs'!$C$21:$C$41,'CWD Opt2 Calcs'!$D$21:$D$41,'Xfer Data to Vol'!L9,TRUE)</f>
        <v>6.5277213659775448</v>
      </c>
      <c r="K9" s="130">
        <f t="shared" si="0"/>
        <v>-6.5277213659775448</v>
      </c>
      <c r="L9" s="13">
        <f>H9+Inputs!$B$3</f>
        <v>37.556126706053718</v>
      </c>
    </row>
    <row r="10" spans="1:12" x14ac:dyDescent="0.25">
      <c r="A10" s="16" t="str">
        <f>'Profile Calcs'!A52</f>
        <v>4b</v>
      </c>
      <c r="B10" s="190">
        <f>-C10/Inputs!$B$3*20</f>
        <v>13.142086671305577</v>
      </c>
      <c r="C10" s="190">
        <f>'Profile Calcs'!B52</f>
        <v>-83.119452093876717</v>
      </c>
      <c r="D10" s="190">
        <f>'Profile Calcs'!C52</f>
        <v>0.12235796643017238</v>
      </c>
      <c r="F10" s="16" t="str">
        <f>'Profile Calcs'!E52</f>
        <v>7g</v>
      </c>
      <c r="G10" s="130">
        <f>'Profile Calcs'!G52</f>
        <v>13.046476849498035</v>
      </c>
      <c r="H10" s="130">
        <f>'Profile Calcs'!F52</f>
        <v>-82.51475086170575</v>
      </c>
      <c r="I10" s="130">
        <f>'Profile Calcs'!H52</f>
        <v>9.1112289685442587</v>
      </c>
      <c r="J10" s="130">
        <f>_xll.Spline('CWD Opt2 Calcs'!$C$21:$C$41,'CWD Opt2 Calcs'!$D$21:$D$41,'Xfer Data to Vol'!L10,TRUE)</f>
        <v>6.7059420362634867</v>
      </c>
      <c r="K10" s="130">
        <f t="shared" si="0"/>
        <v>-6.7059420362634867</v>
      </c>
      <c r="L10" s="13">
        <f>H10+Inputs!$B$3</f>
        <v>43.978787299718292</v>
      </c>
    </row>
    <row r="11" spans="1:12" x14ac:dyDescent="0.25">
      <c r="A11" s="16">
        <f>'Profile Calcs'!A53</f>
        <v>4</v>
      </c>
      <c r="B11" s="190">
        <f>-C11/Inputs!$B$3*20</f>
        <v>14.49557561085641</v>
      </c>
      <c r="C11" s="190">
        <f>'Profile Calcs'!B53</f>
        <v>-91.679832335183647</v>
      </c>
      <c r="D11" s="190">
        <f>'Profile Calcs'!C53</f>
        <v>0.48933205590770967</v>
      </c>
      <c r="F11" s="16" t="str">
        <f>'Profile Calcs'!E53</f>
        <v>7h</v>
      </c>
      <c r="G11" s="130">
        <f>'Profile Calcs'!G53</f>
        <v>12.030984566332023</v>
      </c>
      <c r="H11" s="130">
        <f>'Profile Calcs'!F53</f>
        <v>-76.092090268041176</v>
      </c>
      <c r="I11" s="130">
        <f>'Profile Calcs'!H53</f>
        <v>9.061228968544258</v>
      </c>
      <c r="J11" s="130">
        <f>_xll.Spline('CWD Opt2 Calcs'!$C$21:$C$41,'CWD Opt2 Calcs'!$D$21:$D$41,'Xfer Data to Vol'!L11,TRUE)</f>
        <v>6.8788717874114447</v>
      </c>
      <c r="K11" s="130">
        <f t="shared" si="0"/>
        <v>-6.8788717874114447</v>
      </c>
      <c r="L11" s="13">
        <f>H11+Inputs!$B$3</f>
        <v>50.401447893382866</v>
      </c>
    </row>
    <row r="12" spans="1:12" x14ac:dyDescent="0.25">
      <c r="A12" s="16" t="str">
        <f>'Profile Calcs'!A54</f>
        <v>4c</v>
      </c>
      <c r="B12" s="190">
        <f>-C12/Inputs!$B$3*20</f>
        <v>15.846855513672422</v>
      </c>
      <c r="C12" s="190">
        <f>'Profile Calcs'!B54</f>
        <v>-100.22624113286477</v>
      </c>
      <c r="D12" s="190">
        <f>'Profile Calcs'!C54</f>
        <v>1.1006229204104443</v>
      </c>
      <c r="F12" s="16" t="str">
        <f>'Profile Calcs'!E54</f>
        <v>7i</v>
      </c>
      <c r="G12" s="130">
        <f>'Profile Calcs'!G54</f>
        <v>11.015492283166013</v>
      </c>
      <c r="H12" s="130">
        <f>'Profile Calcs'!F54</f>
        <v>-69.669429674376602</v>
      </c>
      <c r="I12" s="130">
        <f>'Profile Calcs'!H54</f>
        <v>9.0112289685442573</v>
      </c>
      <c r="J12" s="130">
        <f>_xll.Spline('CWD Opt2 Calcs'!$C$21:$C$41,'CWD Opt2 Calcs'!$D$21:$D$41,'Xfer Data to Vol'!L12,TRUE)</f>
        <v>7.0185245552919602</v>
      </c>
      <c r="K12" s="130">
        <f t="shared" si="0"/>
        <v>-7.0185245552919602</v>
      </c>
      <c r="L12" s="13">
        <f>H12+Inputs!$B$3</f>
        <v>56.82410848704744</v>
      </c>
    </row>
    <row r="13" spans="1:12" x14ac:dyDescent="0.25">
      <c r="A13" s="16" t="str">
        <f>'Profile Calcs'!A55</f>
        <v>4d</v>
      </c>
      <c r="B13" s="190">
        <f>-C13/Inputs!$B$3*20</f>
        <v>17.194824114013706</v>
      </c>
      <c r="C13" s="190">
        <f>'Profile Calcs'!B55</f>
        <v>-108.75170701224835</v>
      </c>
      <c r="D13" s="190">
        <f>'Profile Calcs'!C55</f>
        <v>1.9557319178912849</v>
      </c>
      <c r="F13" s="16">
        <f>'Profile Calcs'!E55</f>
        <v>0</v>
      </c>
      <c r="G13" s="130">
        <f>'Profile Calcs'!G55</f>
        <v>10</v>
      </c>
      <c r="H13" s="130">
        <f>'Profile Calcs'!F55</f>
        <v>-63.246769080712021</v>
      </c>
      <c r="I13" s="130">
        <f>'Profile Calcs'!H55</f>
        <v>8.9612289685442565</v>
      </c>
      <c r="J13" s="130">
        <f>_xll.Spline('CWD Opt2 Calcs'!$C$21:$C$41,'CWD Opt2 Calcs'!$D$21:$D$41,'Xfer Data to Vol'!L13,TRUE)</f>
        <v>7.0937403036470332</v>
      </c>
      <c r="K13" s="130">
        <f t="shared" si="0"/>
        <v>-7.0937403036470332</v>
      </c>
      <c r="L13" s="13">
        <f>H13+Inputs!$B$3</f>
        <v>63.246769080712021</v>
      </c>
    </row>
    <row r="14" spans="1:12" x14ac:dyDescent="0.25">
      <c r="A14" s="16">
        <f>'Profile Calcs'!A56</f>
        <v>5</v>
      </c>
      <c r="B14" s="190">
        <f>-C14/Inputs!$B$3*20</f>
        <v>19.970378132528356</v>
      </c>
      <c r="C14" s="190">
        <f>'Profile Calcs'!B56</f>
        <v>-126.3061894202522</v>
      </c>
      <c r="D14" s="190">
        <f>'Profile Calcs'!C56</f>
        <v>3.9700524650514581</v>
      </c>
      <c r="F14" s="16" t="str">
        <f>'Profile Calcs'!E56</f>
        <v>a</v>
      </c>
      <c r="G14" s="130">
        <f>'Profile Calcs'!G56</f>
        <v>8.9195160826174131</v>
      </c>
      <c r="H14" s="130">
        <f>'Profile Calcs'!F56</f>
        <v>-56.413057398900058</v>
      </c>
      <c r="I14" s="130">
        <f>'Profile Calcs'!H56</f>
        <v>8.9612289685442565</v>
      </c>
      <c r="J14" s="130">
        <f>_xll.Spline('CWD Opt2 Calcs'!$C$21:$C$41,'CWD Opt2 Calcs'!$D$21:$D$41,'Xfer Data to Vol'!L14,TRUE)</f>
        <v>7.0708737045685144</v>
      </c>
      <c r="K14" s="130">
        <f t="shared" si="0"/>
        <v>-7.0708737045685144</v>
      </c>
      <c r="L14" s="13">
        <f>H14+Inputs!$B$3</f>
        <v>70.08048076252399</v>
      </c>
    </row>
    <row r="15" spans="1:12" x14ac:dyDescent="0.25">
      <c r="A15" s="16">
        <f>'Profile Calcs'!A57</f>
        <v>6</v>
      </c>
      <c r="B15" s="190">
        <f>-C15/Inputs!$B$3*20</f>
        <v>20</v>
      </c>
      <c r="C15" s="190">
        <f>'Profile Calcs'!B57</f>
        <v>-126.49353816142404</v>
      </c>
      <c r="D15" s="190">
        <f>'Profile Calcs'!C57</f>
        <v>4.8514589937413639</v>
      </c>
      <c r="F15" s="16" t="str">
        <f>'Profile Calcs'!E57</f>
        <v>b</v>
      </c>
      <c r="G15" s="130">
        <f>'Profile Calcs'!G57</f>
        <v>7.8390321652348245</v>
      </c>
      <c r="H15" s="130">
        <f>'Profile Calcs'!F57</f>
        <v>-49.579345717088096</v>
      </c>
      <c r="I15" s="130">
        <f>'Profile Calcs'!H57</f>
        <v>8.992473468544258</v>
      </c>
      <c r="J15" s="130">
        <f>_xll.Spline('CWD Opt2 Calcs'!$C$21:$C$41,'CWD Opt2 Calcs'!$D$21:$D$41,'Xfer Data to Vol'!L15,TRUE)</f>
        <v>6.9158270074933403</v>
      </c>
      <c r="K15" s="130">
        <f t="shared" si="0"/>
        <v>-6.9158270074933403</v>
      </c>
      <c r="L15" s="13">
        <f>H15+Inputs!$B$3</f>
        <v>76.914192444335953</v>
      </c>
    </row>
    <row r="16" spans="1:12" x14ac:dyDescent="0.25">
      <c r="B16" s="191"/>
      <c r="C16" s="191"/>
      <c r="D16" s="191"/>
      <c r="F16" s="16" t="str">
        <f>'Profile Calcs'!E58</f>
        <v>c</v>
      </c>
      <c r="G16" s="130">
        <f>'Profile Calcs'!G58</f>
        <v>6.7585482478522385</v>
      </c>
      <c r="H16" s="130">
        <f>'Profile Calcs'!F58</f>
        <v>-42.745634035276133</v>
      </c>
      <c r="I16" s="130">
        <f>'Profile Calcs'!H58</f>
        <v>9.0869969685442573</v>
      </c>
      <c r="J16" s="130">
        <f>_xll.Spline('CWD Opt2 Calcs'!$C$21:$C$41,'CWD Opt2 Calcs'!$D$21:$D$41,'Xfer Data to Vol'!L16,TRUE)</f>
        <v>6.6125029932086514</v>
      </c>
      <c r="K16" s="130">
        <f t="shared" si="0"/>
        <v>-6.6125029932086514</v>
      </c>
      <c r="L16" s="13">
        <f>H16+Inputs!$B$3</f>
        <v>83.747904126147915</v>
      </c>
    </row>
    <row r="17" spans="1:12" x14ac:dyDescent="0.25">
      <c r="A17" s="16">
        <v>1</v>
      </c>
      <c r="B17" s="190">
        <f>-C17/Inputs!$B$3*20</f>
        <v>-0.80483917382587211</v>
      </c>
      <c r="C17" s="190">
        <f>H23</f>
        <v>5.0903477374075976</v>
      </c>
      <c r="D17" s="190">
        <f>I23</f>
        <v>11.520473468544258</v>
      </c>
      <c r="F17" s="16" t="str">
        <f>'Profile Calcs'!E59</f>
        <v>d</v>
      </c>
      <c r="G17" s="130">
        <f>'Profile Calcs'!G59</f>
        <v>5.6780643304696508</v>
      </c>
      <c r="H17" s="130">
        <f>'Profile Calcs'!F59</f>
        <v>-35.91192235346417</v>
      </c>
      <c r="I17" s="130">
        <f>'Profile Calcs'!H59</f>
        <v>9.244799468544258</v>
      </c>
      <c r="J17" s="130">
        <f>_xll.Spline('CWD Opt2 Calcs'!$C$21:$C$41,'CWD Opt2 Calcs'!$D$21:$D$41,'Xfer Data to Vol'!L17,TRUE)</f>
        <v>6.1554937077887706</v>
      </c>
      <c r="K17" s="130">
        <f t="shared" si="0"/>
        <v>-6.1554937077887706</v>
      </c>
      <c r="L17" s="13">
        <f>H17+Inputs!$B$3</f>
        <v>90.581615807959878</v>
      </c>
    </row>
    <row r="18" spans="1:12" x14ac:dyDescent="0.25">
      <c r="A18" s="16">
        <v>2</v>
      </c>
      <c r="B18" s="190">
        <f>-C18/Inputs!$B$3*20</f>
        <v>0</v>
      </c>
      <c r="C18" s="190">
        <f>C3</f>
        <v>0</v>
      </c>
      <c r="D18" s="190">
        <f>D3</f>
        <v>4.8514589937413639</v>
      </c>
      <c r="F18" s="16" t="str">
        <f>'Profile Calcs'!E60</f>
        <v>e</v>
      </c>
      <c r="G18" s="130">
        <f>'Profile Calcs'!G60</f>
        <v>4.5975804130870639</v>
      </c>
      <c r="H18" s="130">
        <f>'Profile Calcs'!F60</f>
        <v>-29.078210671652208</v>
      </c>
      <c r="I18" s="130">
        <f>'Profile Calcs'!H60</f>
        <v>9.4658809685442566</v>
      </c>
      <c r="J18" s="130">
        <f>_xll.Spline('CWD Opt2 Calcs'!$C$21:$C$41,'CWD Opt2 Calcs'!$D$21:$D$41,'Xfer Data to Vol'!L18,TRUE)</f>
        <v>5.5475635030342003</v>
      </c>
      <c r="K18" s="130">
        <f t="shared" si="0"/>
        <v>-5.5475635030342003</v>
      </c>
      <c r="L18" s="13">
        <f>H18+Inputs!$B$3</f>
        <v>97.41532748977184</v>
      </c>
    </row>
    <row r="19" spans="1:12" x14ac:dyDescent="0.25">
      <c r="B19" s="191"/>
      <c r="C19" s="191"/>
      <c r="D19" s="191"/>
      <c r="F19" s="16" t="str">
        <f>'Profile Calcs'!E61</f>
        <v>f</v>
      </c>
      <c r="G19" s="130">
        <f>'Profile Calcs'!G61</f>
        <v>3.5170964957044761</v>
      </c>
      <c r="H19" s="130">
        <f>'Profile Calcs'!F61</f>
        <v>-22.244498989840245</v>
      </c>
      <c r="I19" s="130">
        <f>'Profile Calcs'!H61</f>
        <v>9.7502414685442567</v>
      </c>
      <c r="J19" s="130">
        <f>_xll.Spline('CWD Opt2 Calcs'!$C$21:$C$41,'CWD Opt2 Calcs'!$D$21:$D$41,'Xfer Data to Vol'!L19,TRUE)</f>
        <v>4.7941799768710407</v>
      </c>
      <c r="K19" s="130">
        <f t="shared" si="0"/>
        <v>-4.7941799768710407</v>
      </c>
      <c r="L19" s="13">
        <f>H19+Inputs!$B$3</f>
        <v>104.2490391715838</v>
      </c>
    </row>
    <row r="20" spans="1:12" x14ac:dyDescent="0.25">
      <c r="A20" s="16">
        <v>6</v>
      </c>
      <c r="B20" s="190">
        <f>-C20/Inputs!$B$3*20</f>
        <v>20</v>
      </c>
      <c r="C20" s="190">
        <f>C15</f>
        <v>-126.49353816142404</v>
      </c>
      <c r="D20" s="190">
        <f>D15</f>
        <v>4.8514589937413639</v>
      </c>
      <c r="F20" s="16" t="str">
        <f>'Profile Calcs'!E62</f>
        <v>g</v>
      </c>
      <c r="G20" s="130">
        <f>'Profile Calcs'!G62</f>
        <v>2.4366125783218888</v>
      </c>
      <c r="H20" s="130">
        <f>'Profile Calcs'!F62</f>
        <v>-15.410787308028283</v>
      </c>
      <c r="I20" s="130">
        <f>'Profile Calcs'!H62</f>
        <v>10.097880968544258</v>
      </c>
      <c r="J20" s="130">
        <f>_xll.Spline('CWD Opt2 Calcs'!$C$21:$C$41,'CWD Opt2 Calcs'!$D$21:$D$41,'Xfer Data to Vol'!L20,TRUE)</f>
        <v>3.8964497424588673</v>
      </c>
      <c r="K20" s="130">
        <f t="shared" si="0"/>
        <v>-3.8964497424588673</v>
      </c>
      <c r="L20" s="13">
        <f>H20+Inputs!$B$3</f>
        <v>111.08275085339577</v>
      </c>
    </row>
    <row r="21" spans="1:12" x14ac:dyDescent="0.25">
      <c r="A21" s="16">
        <v>7</v>
      </c>
      <c r="B21" s="190">
        <f>-C21/Inputs!$B$3*20</f>
        <v>20.154922831660123</v>
      </c>
      <c r="C21" s="190">
        <f>H3</f>
        <v>-127.47337501735782</v>
      </c>
      <c r="D21" s="190">
        <f>I3</f>
        <v>9.4612289685442565</v>
      </c>
      <c r="F21" s="16" t="str">
        <f>'Profile Calcs'!E63</f>
        <v>h</v>
      </c>
      <c r="G21" s="130">
        <f>'Profile Calcs'!G63</f>
        <v>1.3561286609393015</v>
      </c>
      <c r="H21" s="130">
        <f>'Profile Calcs'!F63</f>
        <v>-8.5770756262163204</v>
      </c>
      <c r="I21" s="130">
        <f>'Profile Calcs'!H63</f>
        <v>10.508799468544256</v>
      </c>
      <c r="J21" s="130">
        <f>_xll.Spline('CWD Opt2 Calcs'!$C$21:$C$41,'CWD Opt2 Calcs'!$D$21:$D$41,'Xfer Data to Vol'!L21,TRUE)</f>
        <v>2.8381635732532544</v>
      </c>
      <c r="K21" s="130">
        <f t="shared" si="0"/>
        <v>-2.8381635732532544</v>
      </c>
      <c r="L21" s="13">
        <f>H21+Inputs!$B$3</f>
        <v>117.91646253520773</v>
      </c>
    </row>
    <row r="22" spans="1:12" x14ac:dyDescent="0.25">
      <c r="C22" s="16"/>
      <c r="D22" s="16"/>
      <c r="F22" s="16" t="str">
        <f>'Profile Calcs'!E64</f>
        <v>i</v>
      </c>
      <c r="G22" s="130">
        <f>'Profile Calcs'!G64</f>
        <v>0.27564474355671409</v>
      </c>
      <c r="H22" s="130">
        <f>'Profile Calcs'!F64</f>
        <v>-1.7433639444043578</v>
      </c>
      <c r="I22" s="130">
        <f>'Profile Calcs'!H64</f>
        <v>10.982996968544258</v>
      </c>
      <c r="J22" s="130">
        <f>_xll.Spline('CWD Opt2 Calcs'!$C$21:$C$41,'CWD Opt2 Calcs'!$D$21:$D$41,'Xfer Data to Vol'!L22,TRUE)</f>
        <v>1.5796396768041949</v>
      </c>
      <c r="K22" s="130">
        <f t="shared" si="0"/>
        <v>-1.5796396768041949</v>
      </c>
      <c r="L22" s="13">
        <f>H22+Inputs!$B$3</f>
        <v>124.75017421701969</v>
      </c>
    </row>
    <row r="23" spans="1:12" x14ac:dyDescent="0.25">
      <c r="A23" s="16" t="s">
        <v>234</v>
      </c>
      <c r="C23" s="16"/>
      <c r="D23" s="16"/>
      <c r="F23" s="16">
        <f>'Profile Calcs'!E65</f>
        <v>1</v>
      </c>
      <c r="G23" s="130">
        <f>'Profile Calcs'!G65</f>
        <v>-0.80483917382587211</v>
      </c>
      <c r="H23" s="130">
        <f>'Profile Calcs'!F65</f>
        <v>5.0903477374075976</v>
      </c>
      <c r="I23" s="130">
        <f>'Profile Calcs'!H65</f>
        <v>11.520473468544258</v>
      </c>
      <c r="J23" s="130">
        <f>_xll.Spline('CWD Opt2 Calcs'!$C$21:$C$41,'CWD Opt2 Calcs'!$D$21:$D$41,'Xfer Data to Vol'!L23,TRUE)</f>
        <v>2.5295888975714595E-2</v>
      </c>
      <c r="K23" s="130">
        <f t="shared" si="0"/>
        <v>-2.5295888975714595E-2</v>
      </c>
      <c r="L23" s="13">
        <f>H23+Inputs!$B$3</f>
        <v>131.58388589883162</v>
      </c>
    </row>
    <row r="24" spans="1:12" x14ac:dyDescent="0.25">
      <c r="A24" s="16" t="s">
        <v>266</v>
      </c>
      <c r="B24" s="16" t="s">
        <v>265</v>
      </c>
      <c r="C24" s="16" t="s">
        <v>26</v>
      </c>
      <c r="D24" s="16" t="s">
        <v>254</v>
      </c>
    </row>
    <row r="25" spans="1:12" x14ac:dyDescent="0.25">
      <c r="A25" s="16">
        <f>A18</f>
        <v>2</v>
      </c>
      <c r="B25" s="190">
        <f>B18</f>
        <v>0</v>
      </c>
      <c r="C25" s="190">
        <f>C18</f>
        <v>0</v>
      </c>
      <c r="D25" s="190">
        <f>D18</f>
        <v>4.8514589937413639</v>
      </c>
    </row>
    <row r="26" spans="1:12" x14ac:dyDescent="0.25">
      <c r="A26" s="16">
        <f>A20</f>
        <v>6</v>
      </c>
      <c r="B26" s="190">
        <f>B20</f>
        <v>20</v>
      </c>
      <c r="C26" s="190">
        <f>C20</f>
        <v>-126.49353816142404</v>
      </c>
      <c r="D26" s="190">
        <f>D20</f>
        <v>4.8514589937413639</v>
      </c>
    </row>
    <row r="27" spans="1:12" x14ac:dyDescent="0.25">
      <c r="C27" s="16"/>
      <c r="D27" s="16"/>
    </row>
    <row r="28" spans="1:12" x14ac:dyDescent="0.25">
      <c r="A28" t="s">
        <v>324</v>
      </c>
      <c r="B28" s="224">
        <f>'Offset Data'!AT29</f>
        <v>10486.891465146851</v>
      </c>
      <c r="C28" t="s">
        <v>325</v>
      </c>
      <c r="D28" s="16"/>
    </row>
    <row r="29" spans="1:12" x14ac:dyDescent="0.25">
      <c r="C29" s="16"/>
      <c r="D29" s="16"/>
    </row>
    <row r="30" spans="1:12" x14ac:dyDescent="0.25">
      <c r="C30" s="16"/>
      <c r="D30" s="16"/>
    </row>
    <row r="31" spans="1:12" x14ac:dyDescent="0.25">
      <c r="C31" s="16"/>
      <c r="D31" s="16"/>
    </row>
    <row r="32" spans="1:12" x14ac:dyDescent="0.25">
      <c r="C32" s="16"/>
      <c r="D32" s="16"/>
    </row>
    <row r="33" spans="3:4" x14ac:dyDescent="0.25">
      <c r="C33" s="16"/>
      <c r="D33" s="16"/>
    </row>
    <row r="34" spans="3:4" x14ac:dyDescent="0.25">
      <c r="C34" s="16"/>
      <c r="D34" s="16"/>
    </row>
    <row r="35" spans="3:4" x14ac:dyDescent="0.25">
      <c r="C35" s="16"/>
      <c r="D35" s="16"/>
    </row>
    <row r="36" spans="3:4" x14ac:dyDescent="0.25">
      <c r="C36" s="16"/>
      <c r="D36" s="16"/>
    </row>
    <row r="37" spans="3:4" x14ac:dyDescent="0.25">
      <c r="C37" s="16"/>
      <c r="D37" s="16"/>
    </row>
    <row r="38" spans="3:4" x14ac:dyDescent="0.25">
      <c r="C38" s="16"/>
      <c r="D38" s="16"/>
    </row>
    <row r="39" spans="3:4" x14ac:dyDescent="0.25">
      <c r="C39" s="16"/>
      <c r="D39" s="16"/>
    </row>
    <row r="40" spans="3:4" x14ac:dyDescent="0.25">
      <c r="C40" s="16"/>
      <c r="D40" s="16"/>
    </row>
    <row r="41" spans="3:4" x14ac:dyDescent="0.25">
      <c r="C41" s="16"/>
      <c r="D41" s="16"/>
    </row>
    <row r="42" spans="3:4" x14ac:dyDescent="0.25">
      <c r="C42" s="16"/>
      <c r="D42" s="16"/>
    </row>
    <row r="43" spans="3:4" x14ac:dyDescent="0.25">
      <c r="C43" s="16"/>
      <c r="D43" s="16"/>
    </row>
    <row r="44" spans="3:4" x14ac:dyDescent="0.25">
      <c r="C44" s="16"/>
      <c r="D44" s="16"/>
    </row>
    <row r="45" spans="3:4" x14ac:dyDescent="0.25">
      <c r="C45" s="16"/>
      <c r="D45" s="16"/>
    </row>
    <row r="46" spans="3:4" x14ac:dyDescent="0.25">
      <c r="C46" s="16"/>
      <c r="D46" s="16"/>
    </row>
    <row r="47" spans="3:4" x14ac:dyDescent="0.25">
      <c r="C47" s="16"/>
      <c r="D47" s="16"/>
    </row>
    <row r="48" spans="3:4" x14ac:dyDescent="0.25">
      <c r="C48" s="16"/>
      <c r="D48" s="16"/>
    </row>
    <row r="49" spans="3:4" x14ac:dyDescent="0.25">
      <c r="C49" s="16"/>
      <c r="D49" s="16"/>
    </row>
    <row r="50" spans="3:4" x14ac:dyDescent="0.25">
      <c r="C50" s="16"/>
      <c r="D50" s="16"/>
    </row>
    <row r="51" spans="3:4" x14ac:dyDescent="0.25">
      <c r="C51" s="16"/>
      <c r="D51" s="16"/>
    </row>
  </sheetData>
  <phoneticPr fontId="1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9"/>
  <sheetViews>
    <sheetView topLeftCell="A38" workbookViewId="0">
      <selection activeCell="B22" sqref="B22"/>
    </sheetView>
  </sheetViews>
  <sheetFormatPr defaultRowHeight="12.75" x14ac:dyDescent="0.2"/>
  <cols>
    <col min="1" max="1" width="1.7109375" style="99" customWidth="1"/>
    <col min="2" max="16" width="9.140625" style="99"/>
    <col min="17" max="17" width="1.7109375" style="99" customWidth="1"/>
    <col min="18" max="16384" width="9.140625" style="99"/>
  </cols>
  <sheetData>
    <row r="1" spans="2:16" ht="13.5" thickBot="1" x14ac:dyDescent="0.25"/>
    <row r="2" spans="2:16" x14ac:dyDescent="0.2"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2"/>
    </row>
    <row r="3" spans="2:16" ht="23.25" x14ac:dyDescent="0.35">
      <c r="B3" s="288" t="s">
        <v>162</v>
      </c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90"/>
    </row>
    <row r="4" spans="2:16" x14ac:dyDescent="0.2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</row>
    <row r="5" spans="2:16" x14ac:dyDescent="0.2">
      <c r="B5" s="103"/>
      <c r="C5" s="109" t="s">
        <v>230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5"/>
    </row>
    <row r="6" spans="2:16" x14ac:dyDescent="0.2">
      <c r="B6" s="103"/>
      <c r="C6" s="109" t="s">
        <v>184</v>
      </c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16" x14ac:dyDescent="0.2">
      <c r="B7" s="103"/>
      <c r="C7" s="109" t="s">
        <v>185</v>
      </c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5"/>
    </row>
    <row r="8" spans="2:16" x14ac:dyDescent="0.2">
      <c r="B8" s="103"/>
      <c r="C8" s="109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5"/>
    </row>
    <row r="9" spans="2:16" x14ac:dyDescent="0.2">
      <c r="B9" s="103"/>
      <c r="C9" s="109" t="s">
        <v>163</v>
      </c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0" spans="2:16" x14ac:dyDescent="0.2">
      <c r="B10" s="103"/>
      <c r="D10" s="118" t="s">
        <v>178</v>
      </c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5"/>
    </row>
    <row r="11" spans="2:16" x14ac:dyDescent="0.2">
      <c r="B11" s="103"/>
      <c r="C11" s="109"/>
      <c r="E11" s="133" t="s">
        <v>179</v>
      </c>
      <c r="F11" s="104" t="s">
        <v>180</v>
      </c>
      <c r="G11" s="104"/>
      <c r="H11" s="104"/>
      <c r="J11" s="104"/>
      <c r="K11" s="104"/>
      <c r="L11" s="104"/>
      <c r="M11" s="104"/>
      <c r="N11" s="104"/>
      <c r="O11" s="104"/>
      <c r="P11" s="105"/>
    </row>
    <row r="12" spans="2:16" x14ac:dyDescent="0.2">
      <c r="B12" s="103"/>
      <c r="C12" s="109"/>
      <c r="E12" s="134" t="s">
        <v>181</v>
      </c>
      <c r="F12" s="104" t="s">
        <v>182</v>
      </c>
      <c r="G12" s="104"/>
      <c r="H12" s="104"/>
      <c r="I12" s="104"/>
      <c r="J12" s="104"/>
      <c r="K12" s="104"/>
      <c r="L12" s="104"/>
      <c r="M12" s="104"/>
      <c r="N12" s="104"/>
      <c r="O12" s="104"/>
      <c r="P12" s="105"/>
    </row>
    <row r="13" spans="2:16" x14ac:dyDescent="0.2">
      <c r="B13" s="103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5"/>
    </row>
    <row r="14" spans="2:16" x14ac:dyDescent="0.2">
      <c r="B14" s="103"/>
      <c r="C14" s="116" t="s">
        <v>164</v>
      </c>
      <c r="D14" s="109" t="s">
        <v>183</v>
      </c>
      <c r="E14" s="106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</row>
    <row r="15" spans="2:16" x14ac:dyDescent="0.2">
      <c r="B15" s="103"/>
      <c r="C15" s="116"/>
      <c r="D15" s="109" t="s">
        <v>186</v>
      </c>
      <c r="E15" s="106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5"/>
    </row>
    <row r="16" spans="2:16" x14ac:dyDescent="0.2">
      <c r="B16" s="103"/>
      <c r="C16" s="116"/>
      <c r="D16" s="122" t="s">
        <v>198</v>
      </c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5"/>
    </row>
    <row r="17" spans="2:16" x14ac:dyDescent="0.2">
      <c r="B17" s="103"/>
      <c r="C17" s="116"/>
      <c r="D17" s="116" t="s">
        <v>159</v>
      </c>
      <c r="E17" s="122" t="s">
        <v>187</v>
      </c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5"/>
    </row>
    <row r="18" spans="2:16" x14ac:dyDescent="0.2">
      <c r="B18" s="103"/>
      <c r="C18" s="116"/>
      <c r="D18" s="116" t="s">
        <v>159</v>
      </c>
      <c r="E18" s="122" t="s">
        <v>188</v>
      </c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5"/>
    </row>
    <row r="19" spans="2:16" x14ac:dyDescent="0.2">
      <c r="B19" s="103"/>
      <c r="C19" s="116"/>
      <c r="D19" s="116" t="s">
        <v>159</v>
      </c>
      <c r="E19" s="122" t="s">
        <v>189</v>
      </c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5"/>
    </row>
    <row r="20" spans="2:16" x14ac:dyDescent="0.2">
      <c r="B20" s="103"/>
      <c r="C20" s="116"/>
      <c r="D20" s="116" t="s">
        <v>159</v>
      </c>
      <c r="E20" s="118" t="s">
        <v>191</v>
      </c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5"/>
    </row>
    <row r="21" spans="2:16" x14ac:dyDescent="0.2">
      <c r="B21" s="103"/>
      <c r="C21" s="116"/>
      <c r="D21" s="116" t="s">
        <v>159</v>
      </c>
      <c r="E21" s="122" t="s">
        <v>190</v>
      </c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5"/>
    </row>
    <row r="22" spans="2:16" x14ac:dyDescent="0.2">
      <c r="B22" s="103"/>
      <c r="C22" s="116"/>
      <c r="D22" s="116" t="s">
        <v>159</v>
      </c>
      <c r="E22" s="118" t="s">
        <v>192</v>
      </c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5"/>
    </row>
    <row r="23" spans="2:16" x14ac:dyDescent="0.2">
      <c r="B23" s="103"/>
      <c r="C23" s="116"/>
      <c r="D23" s="116" t="s">
        <v>159</v>
      </c>
      <c r="E23" s="122" t="s">
        <v>193</v>
      </c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5"/>
    </row>
    <row r="24" spans="2:16" x14ac:dyDescent="0.2">
      <c r="B24" s="103"/>
      <c r="C24" s="116"/>
      <c r="D24" s="116" t="s">
        <v>159</v>
      </c>
      <c r="E24" s="122" t="s">
        <v>194</v>
      </c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5"/>
    </row>
    <row r="25" spans="2:16" x14ac:dyDescent="0.2">
      <c r="B25" s="103"/>
      <c r="C25" s="116"/>
      <c r="D25" s="116" t="s">
        <v>159</v>
      </c>
      <c r="E25" s="118" t="s">
        <v>195</v>
      </c>
      <c r="G25" s="104"/>
      <c r="H25" s="104"/>
      <c r="I25" s="104"/>
      <c r="J25" s="104"/>
      <c r="K25" s="104"/>
      <c r="L25" s="104"/>
      <c r="M25" s="104"/>
      <c r="N25" s="104"/>
      <c r="O25" s="104"/>
      <c r="P25" s="105"/>
    </row>
    <row r="26" spans="2:16" x14ac:dyDescent="0.2">
      <c r="B26" s="103"/>
      <c r="C26" s="116"/>
      <c r="D26" s="116" t="s">
        <v>159</v>
      </c>
      <c r="E26" s="118" t="s">
        <v>196</v>
      </c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5"/>
    </row>
    <row r="27" spans="2:16" x14ac:dyDescent="0.2">
      <c r="B27" s="103"/>
      <c r="C27" s="116"/>
      <c r="D27" s="116"/>
      <c r="E27" s="118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5"/>
    </row>
    <row r="28" spans="2:16" x14ac:dyDescent="0.2">
      <c r="B28" s="103"/>
      <c r="C28" s="116"/>
      <c r="D28" s="121" t="s">
        <v>199</v>
      </c>
      <c r="E28" s="118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5"/>
    </row>
    <row r="29" spans="2:16" x14ac:dyDescent="0.2">
      <c r="B29" s="103"/>
      <c r="C29" s="116"/>
      <c r="D29" s="116" t="s">
        <v>159</v>
      </c>
      <c r="E29" s="118" t="s">
        <v>197</v>
      </c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5"/>
    </row>
    <row r="30" spans="2:16" x14ac:dyDescent="0.2">
      <c r="B30" s="103"/>
      <c r="D30" s="118"/>
      <c r="P30" s="105"/>
    </row>
    <row r="31" spans="2:16" x14ac:dyDescent="0.2">
      <c r="B31" s="103"/>
      <c r="C31" s="117" t="s">
        <v>165</v>
      </c>
      <c r="D31" s="109" t="s">
        <v>176</v>
      </c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5"/>
    </row>
    <row r="32" spans="2:16" x14ac:dyDescent="0.2">
      <c r="B32" s="103"/>
      <c r="C32" s="104"/>
      <c r="D32" s="109" t="s">
        <v>177</v>
      </c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5"/>
    </row>
    <row r="33" spans="2:16" x14ac:dyDescent="0.2">
      <c r="B33" s="103"/>
      <c r="C33" s="104"/>
      <c r="D33" s="109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5"/>
    </row>
    <row r="34" spans="2:16" x14ac:dyDescent="0.2">
      <c r="B34" s="103"/>
      <c r="C34" s="116"/>
      <c r="D34" s="109" t="s">
        <v>200</v>
      </c>
      <c r="E34" s="110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5"/>
    </row>
    <row r="35" spans="2:16" x14ac:dyDescent="0.2">
      <c r="B35" s="103"/>
      <c r="C35" s="116"/>
      <c r="D35" s="109" t="s">
        <v>201</v>
      </c>
      <c r="E35" s="110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5"/>
    </row>
    <row r="36" spans="2:16" x14ac:dyDescent="0.2">
      <c r="B36" s="103"/>
      <c r="C36" s="116"/>
      <c r="D36" s="109" t="s">
        <v>202</v>
      </c>
      <c r="E36" s="110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5"/>
    </row>
    <row r="37" spans="2:16" x14ac:dyDescent="0.2">
      <c r="B37" s="103"/>
      <c r="C37" s="116"/>
      <c r="D37" s="109" t="s">
        <v>203</v>
      </c>
      <c r="E37" s="110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5"/>
    </row>
    <row r="38" spans="2:16" x14ac:dyDescent="0.2">
      <c r="B38" s="103"/>
      <c r="C38" s="116"/>
      <c r="D38" s="109" t="s">
        <v>204</v>
      </c>
      <c r="E38" s="110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5"/>
    </row>
    <row r="39" spans="2:16" x14ac:dyDescent="0.2">
      <c r="B39" s="103"/>
      <c r="C39" s="116"/>
      <c r="D39" s="109" t="s">
        <v>205</v>
      </c>
      <c r="E39" s="110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5"/>
    </row>
    <row r="40" spans="2:16" x14ac:dyDescent="0.2">
      <c r="B40" s="103"/>
      <c r="C40" s="116"/>
      <c r="D40" s="109"/>
      <c r="E40" s="110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5"/>
    </row>
    <row r="41" spans="2:16" x14ac:dyDescent="0.2">
      <c r="B41" s="103"/>
      <c r="C41" s="116"/>
      <c r="D41" s="109" t="s">
        <v>206</v>
      </c>
      <c r="E41" s="110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5"/>
    </row>
    <row r="42" spans="2:16" x14ac:dyDescent="0.2">
      <c r="B42" s="103"/>
      <c r="D42" s="118" t="s">
        <v>207</v>
      </c>
      <c r="P42" s="105"/>
    </row>
    <row r="43" spans="2:16" x14ac:dyDescent="0.2">
      <c r="B43" s="103"/>
      <c r="C43" s="116"/>
      <c r="D43" s="109"/>
      <c r="E43" s="106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5"/>
    </row>
    <row r="44" spans="2:16" x14ac:dyDescent="0.2">
      <c r="B44" s="103"/>
      <c r="C44" s="119" t="s">
        <v>166</v>
      </c>
      <c r="D44" s="109" t="s">
        <v>208</v>
      </c>
      <c r="E44" s="106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5"/>
    </row>
    <row r="45" spans="2:16" x14ac:dyDescent="0.2">
      <c r="B45" s="103"/>
      <c r="C45" s="116"/>
      <c r="D45" s="109" t="s">
        <v>209</v>
      </c>
      <c r="E45" s="106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5"/>
    </row>
    <row r="46" spans="2:16" x14ac:dyDescent="0.2">
      <c r="B46" s="103"/>
      <c r="C46" s="116"/>
      <c r="D46" s="109" t="s">
        <v>210</v>
      </c>
      <c r="E46" s="106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5"/>
    </row>
    <row r="47" spans="2:16" x14ac:dyDescent="0.2">
      <c r="B47" s="103"/>
      <c r="C47" s="116"/>
      <c r="D47" s="109" t="s">
        <v>211</v>
      </c>
      <c r="E47" s="106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5"/>
    </row>
    <row r="48" spans="2:16" x14ac:dyDescent="0.2">
      <c r="B48" s="103"/>
      <c r="C48" s="116"/>
      <c r="D48" s="118" t="s">
        <v>212</v>
      </c>
      <c r="E48" s="106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5"/>
    </row>
    <row r="49" spans="2:16" x14ac:dyDescent="0.2">
      <c r="B49" s="103"/>
      <c r="C49" s="116"/>
      <c r="D49" s="109"/>
      <c r="E49" s="106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5"/>
    </row>
    <row r="50" spans="2:16" x14ac:dyDescent="0.2">
      <c r="B50" s="103"/>
      <c r="C50" s="116"/>
      <c r="D50" s="109" t="s">
        <v>213</v>
      </c>
      <c r="E50" s="106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5"/>
    </row>
    <row r="51" spans="2:16" x14ac:dyDescent="0.2">
      <c r="B51" s="103"/>
      <c r="C51" s="116"/>
      <c r="D51" s="109" t="s">
        <v>214</v>
      </c>
      <c r="E51" s="106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5"/>
    </row>
    <row r="52" spans="2:16" x14ac:dyDescent="0.2">
      <c r="B52" s="103"/>
      <c r="C52" s="116"/>
      <c r="D52" s="109"/>
      <c r="E52" s="106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5"/>
    </row>
    <row r="53" spans="2:16" x14ac:dyDescent="0.2">
      <c r="B53" s="103"/>
      <c r="C53" s="119" t="s">
        <v>167</v>
      </c>
      <c r="D53" s="112" t="s">
        <v>215</v>
      </c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5"/>
    </row>
    <row r="54" spans="2:16" x14ac:dyDescent="0.2">
      <c r="B54" s="103"/>
      <c r="D54" s="121" t="s">
        <v>216</v>
      </c>
      <c r="E54" s="120"/>
      <c r="J54" s="104"/>
      <c r="K54" s="104"/>
      <c r="L54" s="104"/>
      <c r="M54" s="104"/>
      <c r="N54" s="104"/>
      <c r="O54" s="104"/>
      <c r="P54" s="105"/>
    </row>
    <row r="55" spans="2:16" x14ac:dyDescent="0.2">
      <c r="B55" s="103"/>
      <c r="D55" s="121" t="s">
        <v>217</v>
      </c>
      <c r="E55" s="120"/>
      <c r="J55" s="104"/>
      <c r="K55" s="104"/>
      <c r="L55" s="104"/>
      <c r="M55" s="104"/>
      <c r="N55" s="104"/>
      <c r="O55" s="104"/>
      <c r="P55" s="105"/>
    </row>
    <row r="56" spans="2:16" x14ac:dyDescent="0.2">
      <c r="B56" s="103"/>
      <c r="D56" s="121" t="s">
        <v>218</v>
      </c>
      <c r="E56" s="120"/>
      <c r="J56" s="104"/>
      <c r="K56" s="104"/>
      <c r="L56" s="104"/>
      <c r="M56" s="104"/>
      <c r="N56" s="104"/>
      <c r="O56" s="104"/>
      <c r="P56" s="105"/>
    </row>
    <row r="57" spans="2:16" x14ac:dyDescent="0.2">
      <c r="B57" s="103"/>
      <c r="D57" s="121"/>
      <c r="E57" s="120"/>
      <c r="J57" s="104"/>
      <c r="K57" s="104"/>
      <c r="L57" s="104"/>
      <c r="M57" s="104"/>
      <c r="N57" s="104"/>
      <c r="O57" s="104"/>
      <c r="P57" s="105"/>
    </row>
    <row r="58" spans="2:16" x14ac:dyDescent="0.2">
      <c r="B58" s="103"/>
      <c r="C58" s="116" t="s">
        <v>168</v>
      </c>
      <c r="D58" s="121" t="s">
        <v>219</v>
      </c>
      <c r="E58" s="120"/>
      <c r="J58" s="104"/>
      <c r="K58" s="104"/>
      <c r="L58" s="104"/>
      <c r="M58" s="104"/>
      <c r="N58" s="104"/>
      <c r="O58" s="104"/>
      <c r="P58" s="105"/>
    </row>
    <row r="59" spans="2:16" x14ac:dyDescent="0.2">
      <c r="B59" s="103"/>
      <c r="D59" s="121" t="s">
        <v>220</v>
      </c>
      <c r="E59" s="120"/>
      <c r="J59" s="104"/>
      <c r="K59" s="104"/>
      <c r="L59" s="104"/>
      <c r="M59" s="104"/>
      <c r="N59" s="104"/>
      <c r="O59" s="104"/>
      <c r="P59" s="105"/>
    </row>
    <row r="60" spans="2:16" x14ac:dyDescent="0.2">
      <c r="B60" s="103"/>
      <c r="D60" s="121"/>
      <c r="E60" s="120"/>
      <c r="J60" s="104"/>
      <c r="K60" s="104"/>
      <c r="L60" s="104"/>
      <c r="M60" s="104"/>
      <c r="N60" s="104"/>
      <c r="O60" s="104"/>
      <c r="P60" s="105"/>
    </row>
    <row r="61" spans="2:16" x14ac:dyDescent="0.2">
      <c r="B61" s="103"/>
      <c r="C61" s="116" t="s">
        <v>169</v>
      </c>
      <c r="D61" s="118" t="s">
        <v>221</v>
      </c>
      <c r="M61" s="104"/>
      <c r="N61" s="104"/>
      <c r="O61" s="104"/>
      <c r="P61" s="105"/>
    </row>
    <row r="62" spans="2:16" x14ac:dyDescent="0.2">
      <c r="B62" s="103"/>
      <c r="D62" s="121" t="s">
        <v>222</v>
      </c>
      <c r="M62" s="104"/>
      <c r="N62" s="104"/>
      <c r="O62" s="104"/>
      <c r="P62" s="105"/>
    </row>
    <row r="63" spans="2:16" x14ac:dyDescent="0.2">
      <c r="B63" s="103"/>
      <c r="C63" s="116"/>
      <c r="D63" s="118" t="s">
        <v>223</v>
      </c>
      <c r="M63" s="104"/>
      <c r="N63" s="104"/>
      <c r="O63" s="104"/>
      <c r="P63" s="105"/>
    </row>
    <row r="64" spans="2:16" x14ac:dyDescent="0.2">
      <c r="B64" s="103"/>
      <c r="C64" s="116"/>
      <c r="D64" s="118" t="s">
        <v>224</v>
      </c>
      <c r="M64" s="104"/>
      <c r="N64" s="104"/>
      <c r="O64" s="104"/>
      <c r="P64" s="105"/>
    </row>
    <row r="65" spans="2:16" x14ac:dyDescent="0.2">
      <c r="B65" s="103"/>
      <c r="C65" s="116"/>
      <c r="D65" s="112"/>
      <c r="M65" s="104"/>
      <c r="N65" s="104"/>
      <c r="O65" s="104"/>
      <c r="P65" s="105"/>
    </row>
    <row r="66" spans="2:16" x14ac:dyDescent="0.2">
      <c r="B66" s="103"/>
      <c r="D66" s="118" t="s">
        <v>225</v>
      </c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5"/>
    </row>
    <row r="67" spans="2:16" x14ac:dyDescent="0.2">
      <c r="B67" s="103"/>
      <c r="C67" s="118"/>
      <c r="D67" s="116" t="s">
        <v>159</v>
      </c>
      <c r="E67" s="118" t="s">
        <v>226</v>
      </c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5"/>
    </row>
    <row r="68" spans="2:16" x14ac:dyDescent="0.2">
      <c r="B68" s="103"/>
      <c r="D68" s="116" t="s">
        <v>159</v>
      </c>
      <c r="E68" s="118" t="s">
        <v>227</v>
      </c>
      <c r="F68" s="104"/>
      <c r="H68" s="104"/>
      <c r="I68" s="104"/>
      <c r="J68" s="104"/>
      <c r="K68" s="104"/>
      <c r="L68" s="104"/>
      <c r="M68" s="104"/>
      <c r="N68" s="104"/>
      <c r="O68" s="104"/>
      <c r="P68" s="105"/>
    </row>
    <row r="69" spans="2:16" x14ac:dyDescent="0.2">
      <c r="B69" s="103"/>
      <c r="D69" s="118"/>
      <c r="E69" s="118" t="s">
        <v>228</v>
      </c>
      <c r="F69" s="104"/>
      <c r="H69" s="104"/>
      <c r="I69" s="104"/>
      <c r="J69" s="104"/>
      <c r="K69" s="104"/>
      <c r="L69" s="104"/>
      <c r="M69" s="104"/>
      <c r="N69" s="104"/>
      <c r="O69" s="104"/>
      <c r="P69" s="105"/>
    </row>
    <row r="70" spans="2:16" x14ac:dyDescent="0.2">
      <c r="B70" s="103"/>
      <c r="D70" s="118"/>
      <c r="E70" s="118"/>
      <c r="F70" s="104"/>
      <c r="H70" s="104"/>
      <c r="I70" s="104"/>
      <c r="J70" s="104"/>
      <c r="K70" s="104"/>
      <c r="L70" s="104"/>
      <c r="M70" s="104"/>
      <c r="N70" s="104"/>
      <c r="O70" s="104"/>
      <c r="P70" s="105"/>
    </row>
    <row r="71" spans="2:16" x14ac:dyDescent="0.2">
      <c r="B71" s="103"/>
      <c r="C71" s="109" t="s">
        <v>163</v>
      </c>
      <c r="D71" s="104"/>
      <c r="E71" s="104"/>
      <c r="F71" s="104"/>
      <c r="H71" s="104"/>
      <c r="I71" s="104"/>
      <c r="J71" s="104"/>
      <c r="K71" s="104"/>
      <c r="L71" s="104"/>
      <c r="M71" s="104"/>
      <c r="N71" s="104"/>
      <c r="O71" s="104"/>
      <c r="P71" s="105"/>
    </row>
    <row r="72" spans="2:16" x14ac:dyDescent="0.2">
      <c r="B72" s="103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5"/>
    </row>
    <row r="73" spans="2:16" x14ac:dyDescent="0.2">
      <c r="B73" s="103"/>
      <c r="D73" s="123" t="s">
        <v>170</v>
      </c>
      <c r="E73" s="109" t="s">
        <v>171</v>
      </c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5"/>
    </row>
    <row r="74" spans="2:16" x14ac:dyDescent="0.2">
      <c r="B74" s="103"/>
      <c r="D74" s="124" t="s">
        <v>172</v>
      </c>
      <c r="E74" s="109" t="s">
        <v>173</v>
      </c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5"/>
    </row>
    <row r="75" spans="2:16" x14ac:dyDescent="0.2">
      <c r="B75" s="103"/>
      <c r="C75" s="104"/>
      <c r="D75" s="125" t="s">
        <v>174</v>
      </c>
      <c r="E75" s="109" t="s">
        <v>175</v>
      </c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5"/>
    </row>
    <row r="76" spans="2:16" x14ac:dyDescent="0.2">
      <c r="B76" s="103"/>
      <c r="C76" s="104"/>
      <c r="D76" s="135"/>
      <c r="E76" s="109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5"/>
    </row>
    <row r="77" spans="2:16" x14ac:dyDescent="0.2">
      <c r="B77" s="103"/>
      <c r="C77" s="104"/>
      <c r="D77" s="136" t="s">
        <v>229</v>
      </c>
      <c r="E77" s="109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5"/>
    </row>
    <row r="78" spans="2:16" x14ac:dyDescent="0.2">
      <c r="B78" s="103"/>
      <c r="C78" s="104"/>
      <c r="D78" s="136" t="s">
        <v>231</v>
      </c>
      <c r="E78" s="109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5"/>
    </row>
    <row r="79" spans="2:16" ht="13.5" thickBot="1" x14ac:dyDescent="0.25">
      <c r="B79" s="113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5"/>
    </row>
  </sheetData>
  <mergeCells count="1">
    <mergeCell ref="B3:P3"/>
  </mergeCells>
  <phoneticPr fontId="1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20"/>
  <sheetViews>
    <sheetView topLeftCell="A3" workbookViewId="0">
      <selection activeCell="K16" sqref="K16"/>
    </sheetView>
  </sheetViews>
  <sheetFormatPr defaultRowHeight="15" x14ac:dyDescent="0.25"/>
  <cols>
    <col min="1" max="16384" width="9.140625" style="83"/>
  </cols>
  <sheetData>
    <row r="1" spans="1:13" x14ac:dyDescent="0.25">
      <c r="A1" s="225" t="s">
        <v>102</v>
      </c>
    </row>
    <row r="2" spans="1:13" x14ac:dyDescent="0.25">
      <c r="A2" s="83" t="s">
        <v>144</v>
      </c>
    </row>
    <row r="3" spans="1:13" x14ac:dyDescent="0.25">
      <c r="A3" s="84" t="s">
        <v>2</v>
      </c>
      <c r="B3" s="130">
        <f>415/3.2808</f>
        <v>126.49353816142404</v>
      </c>
      <c r="D3" s="127">
        <f>B3*3.2808</f>
        <v>415</v>
      </c>
      <c r="E3" s="173" t="s">
        <v>336</v>
      </c>
      <c r="G3" s="84"/>
      <c r="H3" s="84"/>
      <c r="I3" s="84"/>
      <c r="M3" s="84"/>
    </row>
    <row r="4" spans="1:13" x14ac:dyDescent="0.25">
      <c r="A4" s="84" t="s">
        <v>3</v>
      </c>
      <c r="B4" s="130">
        <f>(46+7/12)/3.2808</f>
        <v>14.19877265707551</v>
      </c>
      <c r="D4" s="130">
        <f>B4*3.2808</f>
        <v>46.583333333333336</v>
      </c>
      <c r="E4" s="173" t="s">
        <v>336</v>
      </c>
      <c r="G4" s="86"/>
      <c r="H4" s="85"/>
      <c r="I4" s="87"/>
      <c r="M4" s="85"/>
    </row>
    <row r="5" spans="1:13" x14ac:dyDescent="0.25">
      <c r="A5" s="84" t="s">
        <v>4</v>
      </c>
      <c r="B5" s="130">
        <f>29.4/3.2808</f>
        <v>8.9612289685442565</v>
      </c>
      <c r="C5" s="82"/>
      <c r="D5" s="130">
        <f>B5*3.2808</f>
        <v>29.4</v>
      </c>
      <c r="E5" s="173" t="s">
        <v>336</v>
      </c>
      <c r="G5" s="81"/>
      <c r="H5" s="81"/>
      <c r="I5" s="81"/>
      <c r="J5" s="81"/>
      <c r="K5" s="81"/>
      <c r="L5" s="82"/>
      <c r="M5" s="82"/>
    </row>
    <row r="6" spans="1:13" x14ac:dyDescent="0.25">
      <c r="A6" s="84" t="s">
        <v>16</v>
      </c>
      <c r="B6" s="130">
        <f>(15+11/12)/3.2808</f>
        <v>4.8514589937413639</v>
      </c>
      <c r="C6" s="22">
        <f>(14+10/12)/3.2808</f>
        <v>4.5212549784605383</v>
      </c>
      <c r="D6" s="130">
        <f>B6*3.2808</f>
        <v>15.916666666666668</v>
      </c>
      <c r="E6" s="173" t="s">
        <v>336</v>
      </c>
      <c r="G6" s="81"/>
      <c r="H6" s="81"/>
      <c r="I6" s="81"/>
      <c r="J6" s="81"/>
      <c r="K6" s="81"/>
    </row>
    <row r="7" spans="1:13" x14ac:dyDescent="0.25">
      <c r="A7" s="84" t="s">
        <v>12</v>
      </c>
      <c r="B7" s="128">
        <v>0.18167865168539324</v>
      </c>
      <c r="C7" s="86"/>
      <c r="D7" s="21"/>
      <c r="E7" s="81"/>
      <c r="G7" s="81"/>
      <c r="H7" s="81"/>
      <c r="I7" s="81"/>
      <c r="J7" s="81"/>
      <c r="K7" s="81"/>
    </row>
    <row r="8" spans="1:13" x14ac:dyDescent="0.25">
      <c r="A8" s="84"/>
      <c r="B8" s="87"/>
      <c r="C8" s="86"/>
      <c r="E8" s="81"/>
      <c r="F8" s="87"/>
      <c r="G8" s="81"/>
      <c r="H8" s="81" t="s">
        <v>382</v>
      </c>
      <c r="I8" s="81" t="s">
        <v>336</v>
      </c>
      <c r="J8" s="81">
        <v>46.4</v>
      </c>
      <c r="K8" s="81"/>
    </row>
    <row r="9" spans="1:13" x14ac:dyDescent="0.25">
      <c r="A9" s="81" t="s">
        <v>99</v>
      </c>
      <c r="E9" s="81"/>
      <c r="G9" s="81"/>
      <c r="H9" s="81" t="s">
        <v>383</v>
      </c>
      <c r="I9" s="81" t="s">
        <v>336</v>
      </c>
      <c r="J9" s="81">
        <v>15.61</v>
      </c>
      <c r="K9" s="81"/>
    </row>
    <row r="10" spans="1:13" x14ac:dyDescent="0.25">
      <c r="A10" s="84" t="s">
        <v>6</v>
      </c>
      <c r="B10" s="128">
        <v>0.60119999999999996</v>
      </c>
      <c r="E10" s="81"/>
      <c r="F10" s="21"/>
      <c r="G10" s="81"/>
      <c r="H10" s="81" t="s">
        <v>384</v>
      </c>
      <c r="J10" s="83">
        <v>0.74170000000000003</v>
      </c>
      <c r="K10" s="81"/>
    </row>
    <row r="11" spans="1:13" x14ac:dyDescent="0.25">
      <c r="A11" s="84" t="s">
        <v>10</v>
      </c>
      <c r="B11" s="128">
        <v>8.8754E-2</v>
      </c>
      <c r="C11" s="84" t="s">
        <v>93</v>
      </c>
      <c r="D11" s="81">
        <f>B11*B4*B6*B13</f>
        <v>4.9784659414986834</v>
      </c>
      <c r="E11" s="81"/>
      <c r="F11" s="21"/>
      <c r="G11" s="81"/>
      <c r="H11" s="83" t="s">
        <v>385</v>
      </c>
      <c r="J11" s="83">
        <v>0.81430000000000002</v>
      </c>
      <c r="K11" s="81"/>
    </row>
    <row r="12" spans="1:13" x14ac:dyDescent="0.25">
      <c r="A12" s="84" t="s">
        <v>8</v>
      </c>
      <c r="B12" s="128">
        <v>-1.2050000000000001</v>
      </c>
      <c r="F12" s="21"/>
      <c r="G12" s="81"/>
      <c r="H12" s="83" t="s">
        <v>386</v>
      </c>
      <c r="J12" s="83">
        <v>0.60119999999999996</v>
      </c>
    </row>
    <row r="13" spans="1:13" x14ac:dyDescent="0.25">
      <c r="A13" s="84" t="s">
        <v>5</v>
      </c>
      <c r="B13" s="128">
        <v>0.81430000000000002</v>
      </c>
      <c r="E13" s="81"/>
      <c r="F13" s="21"/>
      <c r="G13" s="81"/>
      <c r="H13" s="83" t="s">
        <v>387</v>
      </c>
      <c r="J13" s="83">
        <v>0.49530000000000002</v>
      </c>
    </row>
    <row r="14" spans="1:13" x14ac:dyDescent="0.25">
      <c r="G14" s="81"/>
      <c r="H14" s="83" t="s">
        <v>388</v>
      </c>
      <c r="I14" s="83" t="s">
        <v>336</v>
      </c>
      <c r="J14" s="83">
        <v>208</v>
      </c>
    </row>
    <row r="15" spans="1:13" x14ac:dyDescent="0.25">
      <c r="A15" s="81" t="s">
        <v>98</v>
      </c>
      <c r="C15" s="81"/>
      <c r="D15" s="81"/>
      <c r="H15" s="83" t="s">
        <v>389</v>
      </c>
      <c r="I15" s="83" t="s">
        <v>336</v>
      </c>
      <c r="J15" s="83">
        <v>208.1</v>
      </c>
    </row>
    <row r="16" spans="1:13" x14ac:dyDescent="0.25">
      <c r="A16" s="84" t="s">
        <v>7</v>
      </c>
      <c r="B16" s="128">
        <v>0.74170000000000003</v>
      </c>
      <c r="C16" s="81"/>
      <c r="D16" s="81"/>
      <c r="F16" s="21"/>
      <c r="H16" s="83" t="s">
        <v>390</v>
      </c>
      <c r="I16" s="83" t="s">
        <v>336</v>
      </c>
      <c r="J16" s="83">
        <v>234.6</v>
      </c>
    </row>
    <row r="17" spans="1:6" x14ac:dyDescent="0.25">
      <c r="A17" s="84" t="s">
        <v>11</v>
      </c>
      <c r="B17" s="130">
        <v>0.60814500000000005</v>
      </c>
      <c r="C17" s="84" t="s">
        <v>92</v>
      </c>
      <c r="D17" s="81">
        <f>B17*B5</f>
        <v>5.449726591075347</v>
      </c>
      <c r="F17" s="19"/>
    </row>
    <row r="18" spans="1:6" x14ac:dyDescent="0.25">
      <c r="A18" s="84" t="s">
        <v>9</v>
      </c>
      <c r="B18" s="127">
        <v>11</v>
      </c>
      <c r="F18" s="22"/>
    </row>
    <row r="19" spans="1:6" x14ac:dyDescent="0.25">
      <c r="B19" s="132"/>
      <c r="C19" s="81"/>
      <c r="D19" s="81"/>
    </row>
    <row r="20" spans="1:6" x14ac:dyDescent="0.25">
      <c r="C20"/>
    </row>
  </sheetData>
  <phoneticPr fontId="1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:T179"/>
  <sheetViews>
    <sheetView topLeftCell="A41" zoomScaleNormal="100" workbookViewId="0">
      <selection activeCell="H41" sqref="H41"/>
    </sheetView>
  </sheetViews>
  <sheetFormatPr defaultRowHeight="15" x14ac:dyDescent="0.25"/>
  <cols>
    <col min="1" max="1" width="14.140625" bestFit="1" customWidth="1"/>
    <col min="2" max="3" width="12" bestFit="1" customWidth="1"/>
    <col min="14" max="14" width="12" bestFit="1" customWidth="1"/>
    <col min="16" max="16" width="12" bestFit="1" customWidth="1"/>
    <col min="18" max="18" width="12" bestFit="1" customWidth="1"/>
  </cols>
  <sheetData>
    <row r="3" spans="1:17" x14ac:dyDescent="0.25">
      <c r="B3" s="127"/>
    </row>
    <row r="4" spans="1:17" x14ac:dyDescent="0.25">
      <c r="B4" s="127"/>
    </row>
    <row r="5" spans="1:17" x14ac:dyDescent="0.25">
      <c r="B5" s="130"/>
    </row>
    <row r="6" spans="1:17" x14ac:dyDescent="0.25">
      <c r="B6" s="127"/>
    </row>
    <row r="7" spans="1:17" x14ac:dyDescent="0.25">
      <c r="B7" s="127"/>
    </row>
    <row r="10" spans="1:17" x14ac:dyDescent="0.25">
      <c r="B10" s="127"/>
    </row>
    <row r="11" spans="1:17" x14ac:dyDescent="0.25">
      <c r="B11" s="128"/>
    </row>
    <row r="12" spans="1:17" x14ac:dyDescent="0.25">
      <c r="B12" s="128"/>
    </row>
    <row r="13" spans="1:17" x14ac:dyDescent="0.25">
      <c r="B13" s="128"/>
    </row>
    <row r="14" spans="1:17" x14ac:dyDescent="0.25">
      <c r="B14" s="16" t="s">
        <v>122</v>
      </c>
      <c r="D14" t="s">
        <v>121</v>
      </c>
      <c r="K14" s="291" t="s">
        <v>44</v>
      </c>
      <c r="L14" s="293"/>
      <c r="N14" s="291" t="s">
        <v>64</v>
      </c>
      <c r="O14" s="292"/>
      <c r="P14" s="292"/>
      <c r="Q14" s="293"/>
    </row>
    <row r="15" spans="1:17" x14ac:dyDescent="0.25">
      <c r="A15" t="s">
        <v>123</v>
      </c>
      <c r="B15" s="15">
        <f>'Profile Calcs'!B16-'Profile Calcs'!B30</f>
        <v>132.56372275476542</v>
      </c>
      <c r="F15" t="s">
        <v>24</v>
      </c>
      <c r="H15" s="198">
        <v>35</v>
      </c>
      <c r="I15" s="16" t="s">
        <v>124</v>
      </c>
      <c r="K15" s="54"/>
      <c r="L15" s="200">
        <v>3</v>
      </c>
      <c r="N15" s="192" t="s">
        <v>65</v>
      </c>
      <c r="O15" s="198">
        <v>2</v>
      </c>
      <c r="P15" s="193" t="s">
        <v>68</v>
      </c>
      <c r="Q15" s="200">
        <v>2</v>
      </c>
    </row>
    <row r="16" spans="1:17" x14ac:dyDescent="0.25">
      <c r="A16" t="s">
        <v>13</v>
      </c>
      <c r="B16" s="130">
        <f>Inputs!B3</f>
        <v>126.49353816142404</v>
      </c>
      <c r="D16" s="22"/>
      <c r="F16" t="s">
        <v>25</v>
      </c>
      <c r="H16" s="19">
        <f>H15</f>
        <v>35</v>
      </c>
      <c r="I16" s="16" t="s">
        <v>124</v>
      </c>
      <c r="K16" s="50" t="s">
        <v>49</v>
      </c>
      <c r="L16" s="53">
        <v>0</v>
      </c>
      <c r="N16" s="50" t="s">
        <v>49</v>
      </c>
      <c r="O16" s="51">
        <v>0</v>
      </c>
      <c r="P16" s="52" t="s">
        <v>49</v>
      </c>
      <c r="Q16" s="53">
        <v>0</v>
      </c>
    </row>
    <row r="17" spans="1:20" x14ac:dyDescent="0.25">
      <c r="A17" t="s">
        <v>14</v>
      </c>
      <c r="B17" s="130">
        <f>Inputs!B5</f>
        <v>8.9612289685442565</v>
      </c>
      <c r="D17" s="22"/>
      <c r="F17" t="s">
        <v>18</v>
      </c>
      <c r="H17" s="199">
        <v>12</v>
      </c>
      <c r="I17" s="16" t="s">
        <v>124</v>
      </c>
      <c r="K17" s="43" t="s">
        <v>45</v>
      </c>
      <c r="L17" s="45">
        <v>2</v>
      </c>
      <c r="N17" s="43" t="s">
        <v>66</v>
      </c>
      <c r="O17" s="18">
        <v>1</v>
      </c>
      <c r="P17" s="44" t="s">
        <v>66</v>
      </c>
      <c r="Q17" s="45">
        <v>1</v>
      </c>
    </row>
    <row r="18" spans="1:20" x14ac:dyDescent="0.25">
      <c r="A18" t="s">
        <v>15</v>
      </c>
      <c r="B18" s="130">
        <f>Inputs!B6</f>
        <v>4.8514589937413639</v>
      </c>
      <c r="D18" s="22"/>
      <c r="F18" t="s">
        <v>27</v>
      </c>
      <c r="H18" s="198">
        <v>0</v>
      </c>
      <c r="I18" s="16" t="s">
        <v>124</v>
      </c>
      <c r="K18" s="43" t="s">
        <v>46</v>
      </c>
      <c r="L18" s="45">
        <v>3</v>
      </c>
      <c r="N18" s="46" t="s">
        <v>67</v>
      </c>
      <c r="O18" s="47">
        <v>2</v>
      </c>
      <c r="P18" s="48" t="s">
        <v>67</v>
      </c>
      <c r="Q18" s="49">
        <v>2</v>
      </c>
    </row>
    <row r="19" spans="1:20" x14ac:dyDescent="0.25">
      <c r="A19" t="s">
        <v>12</v>
      </c>
      <c r="B19" s="130">
        <f>Inputs!B7</f>
        <v>0.18167865168539324</v>
      </c>
      <c r="D19" s="198"/>
      <c r="F19" t="s">
        <v>19</v>
      </c>
      <c r="H19" s="198">
        <v>0.72499999999999998</v>
      </c>
      <c r="K19" s="43" t="s">
        <v>47</v>
      </c>
      <c r="L19" s="45">
        <v>4</v>
      </c>
      <c r="N19" s="43" t="s">
        <v>69</v>
      </c>
      <c r="O19" s="198">
        <v>3.16</v>
      </c>
      <c r="P19" s="44" t="s">
        <v>69</v>
      </c>
      <c r="Q19" s="200">
        <v>0.5</v>
      </c>
    </row>
    <row r="20" spans="1:20" x14ac:dyDescent="0.25">
      <c r="A20" t="s">
        <v>17</v>
      </c>
      <c r="D20" s="13">
        <f>IF(D19="",B18*B19,B18*D19)</f>
        <v>0.88140652868990566</v>
      </c>
      <c r="F20" t="s">
        <v>28</v>
      </c>
      <c r="H20" s="198">
        <v>0</v>
      </c>
      <c r="I20" s="16" t="s">
        <v>125</v>
      </c>
      <c r="K20" s="46" t="s">
        <v>48</v>
      </c>
      <c r="L20" s="49">
        <v>5</v>
      </c>
      <c r="N20" s="46" t="s">
        <v>88</v>
      </c>
      <c r="O20" s="201">
        <v>0.5</v>
      </c>
      <c r="P20" s="48" t="s">
        <v>88</v>
      </c>
      <c r="Q20" s="202">
        <v>0.5</v>
      </c>
    </row>
    <row r="21" spans="1:20" x14ac:dyDescent="0.25">
      <c r="F21" t="s">
        <v>29</v>
      </c>
      <c r="H21" s="198">
        <v>300</v>
      </c>
      <c r="I21" s="16" t="s">
        <v>125</v>
      </c>
    </row>
    <row r="24" spans="1:20" x14ac:dyDescent="0.25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</row>
    <row r="25" spans="1:20" x14ac:dyDescent="0.25">
      <c r="B25" s="13"/>
      <c r="T25" s="13"/>
    </row>
    <row r="26" spans="1:20" x14ac:dyDescent="0.25">
      <c r="B26" s="13"/>
      <c r="T26" s="13"/>
    </row>
    <row r="27" spans="1:20" x14ac:dyDescent="0.25">
      <c r="B27" s="13"/>
      <c r="T27" s="13"/>
    </row>
    <row r="28" spans="1:20" x14ac:dyDescent="0.25">
      <c r="B28" s="13"/>
      <c r="T28" s="13"/>
    </row>
    <row r="29" spans="1:20" x14ac:dyDescent="0.25">
      <c r="B29" s="13"/>
      <c r="T29" s="13"/>
    </row>
    <row r="30" spans="1:20" x14ac:dyDescent="0.25">
      <c r="B30" s="13"/>
      <c r="T30" s="13"/>
    </row>
    <row r="31" spans="1:20" x14ac:dyDescent="0.25">
      <c r="B31" s="13"/>
      <c r="T31" s="13"/>
    </row>
    <row r="32" spans="1:20" x14ac:dyDescent="0.25">
      <c r="B32" s="13"/>
      <c r="T32" s="13"/>
    </row>
    <row r="33" spans="2:20" x14ac:dyDescent="0.25">
      <c r="B33" s="13"/>
      <c r="T33" s="13"/>
    </row>
    <row r="34" spans="2:20" x14ac:dyDescent="0.25">
      <c r="B34" s="13"/>
      <c r="T34" s="13"/>
    </row>
    <row r="35" spans="2:20" x14ac:dyDescent="0.25">
      <c r="B35" s="13"/>
      <c r="T35" s="13"/>
    </row>
    <row r="36" spans="2:20" x14ac:dyDescent="0.25">
      <c r="B36" s="13"/>
      <c r="T36" s="13"/>
    </row>
    <row r="37" spans="2:20" x14ac:dyDescent="0.25">
      <c r="B37" s="13"/>
      <c r="T37" s="13"/>
    </row>
    <row r="38" spans="2:20" x14ac:dyDescent="0.25">
      <c r="B38" s="13"/>
      <c r="T38" s="13"/>
    </row>
    <row r="39" spans="2:20" x14ac:dyDescent="0.25">
      <c r="B39" s="13"/>
      <c r="T39" s="13"/>
    </row>
    <row r="40" spans="2:20" x14ac:dyDescent="0.25">
      <c r="B40" s="13"/>
      <c r="T40" s="13"/>
    </row>
    <row r="41" spans="2:20" x14ac:dyDescent="0.25">
      <c r="B41" s="13"/>
      <c r="T41" s="13"/>
    </row>
    <row r="42" spans="2:20" x14ac:dyDescent="0.25">
      <c r="B42" s="13"/>
    </row>
    <row r="43" spans="2:20" x14ac:dyDescent="0.25">
      <c r="B43" s="13"/>
    </row>
    <row r="44" spans="2:20" x14ac:dyDescent="0.25">
      <c r="B44" s="13"/>
    </row>
    <row r="45" spans="2:20" x14ac:dyDescent="0.25">
      <c r="B45" s="13"/>
    </row>
    <row r="46" spans="2:20" x14ac:dyDescent="0.25">
      <c r="B46" s="13"/>
    </row>
    <row r="47" spans="2:20" x14ac:dyDescent="0.25">
      <c r="B47" s="13"/>
    </row>
    <row r="48" spans="2:20" x14ac:dyDescent="0.25">
      <c r="B48" s="13"/>
    </row>
    <row r="49" spans="2:3" x14ac:dyDescent="0.25">
      <c r="B49" s="13"/>
    </row>
    <row r="50" spans="2:3" x14ac:dyDescent="0.25">
      <c r="B50" s="13"/>
    </row>
    <row r="51" spans="2:3" x14ac:dyDescent="0.25">
      <c r="B51" s="13"/>
    </row>
    <row r="52" spans="2:3" x14ac:dyDescent="0.25">
      <c r="B52" s="13"/>
    </row>
    <row r="53" spans="2:3" x14ac:dyDescent="0.25">
      <c r="B53" s="13"/>
    </row>
    <row r="54" spans="2:3" x14ac:dyDescent="0.25">
      <c r="B54" s="13"/>
    </row>
    <row r="55" spans="2:3" x14ac:dyDescent="0.25">
      <c r="B55" s="13"/>
    </row>
    <row r="56" spans="2:3" x14ac:dyDescent="0.25">
      <c r="B56" s="13"/>
    </row>
    <row r="57" spans="2:3" x14ac:dyDescent="0.25">
      <c r="B57" s="13"/>
    </row>
    <row r="58" spans="2:3" x14ac:dyDescent="0.25">
      <c r="B58" s="13"/>
    </row>
    <row r="59" spans="2:3" x14ac:dyDescent="0.25">
      <c r="B59" s="13"/>
      <c r="C59" s="13"/>
    </row>
    <row r="60" spans="2:3" x14ac:dyDescent="0.25">
      <c r="B60" s="13"/>
      <c r="C60" s="13"/>
    </row>
    <row r="61" spans="2:3" x14ac:dyDescent="0.25">
      <c r="B61" s="13"/>
      <c r="C61" s="13"/>
    </row>
    <row r="62" spans="2:3" x14ac:dyDescent="0.25">
      <c r="B62" s="13"/>
      <c r="C62" s="13"/>
    </row>
    <row r="63" spans="2:3" x14ac:dyDescent="0.25">
      <c r="B63" s="13"/>
      <c r="C63" s="13"/>
    </row>
    <row r="64" spans="2:3" x14ac:dyDescent="0.25">
      <c r="B64" s="13"/>
      <c r="C64" s="13"/>
    </row>
    <row r="65" spans="2:3" x14ac:dyDescent="0.25">
      <c r="B65" s="13"/>
      <c r="C65" s="13"/>
    </row>
    <row r="66" spans="2:3" x14ac:dyDescent="0.25">
      <c r="B66" s="13"/>
      <c r="C66" s="13"/>
    </row>
    <row r="67" spans="2:3" x14ac:dyDescent="0.25">
      <c r="B67" s="13"/>
      <c r="C67" s="13"/>
    </row>
    <row r="68" spans="2:3" x14ac:dyDescent="0.25">
      <c r="B68" s="13"/>
      <c r="C68" s="13"/>
    </row>
    <row r="69" spans="2:3" x14ac:dyDescent="0.25">
      <c r="B69" s="13"/>
      <c r="C69" s="13"/>
    </row>
    <row r="70" spans="2:3" x14ac:dyDescent="0.25">
      <c r="B70" s="13"/>
      <c r="C70" s="13"/>
    </row>
    <row r="71" spans="2:3" x14ac:dyDescent="0.25">
      <c r="B71" s="13"/>
      <c r="C71" s="13"/>
    </row>
    <row r="72" spans="2:3" x14ac:dyDescent="0.25">
      <c r="B72" s="13"/>
      <c r="C72" s="13"/>
    </row>
    <row r="73" spans="2:3" x14ac:dyDescent="0.25">
      <c r="B73" s="13"/>
      <c r="C73" s="13"/>
    </row>
    <row r="74" spans="2:3" x14ac:dyDescent="0.25">
      <c r="B74" s="13"/>
      <c r="C74" s="13"/>
    </row>
    <row r="75" spans="2:3" x14ac:dyDescent="0.25">
      <c r="B75" s="13"/>
      <c r="C75" s="13"/>
    </row>
    <row r="76" spans="2:3" x14ac:dyDescent="0.25">
      <c r="B76" s="13"/>
      <c r="C76" s="13"/>
    </row>
    <row r="77" spans="2:3" x14ac:dyDescent="0.25">
      <c r="B77" s="13"/>
      <c r="C77" s="13"/>
    </row>
    <row r="78" spans="2:3" x14ac:dyDescent="0.25">
      <c r="B78" s="13"/>
      <c r="C78" s="13"/>
    </row>
    <row r="79" spans="2:3" x14ac:dyDescent="0.25">
      <c r="B79" s="13"/>
      <c r="C79" s="13"/>
    </row>
    <row r="80" spans="2:3" x14ac:dyDescent="0.25">
      <c r="B80" s="13"/>
      <c r="C80" s="13"/>
    </row>
    <row r="81" spans="2:3" x14ac:dyDescent="0.25">
      <c r="B81" s="13"/>
      <c r="C81" s="13"/>
    </row>
    <row r="82" spans="2:3" x14ac:dyDescent="0.25">
      <c r="B82" s="13"/>
      <c r="C82" s="13"/>
    </row>
    <row r="83" spans="2:3" x14ac:dyDescent="0.25">
      <c r="B83" s="13"/>
      <c r="C83" s="13"/>
    </row>
    <row r="84" spans="2:3" x14ac:dyDescent="0.25">
      <c r="B84" s="13"/>
      <c r="C84" s="13"/>
    </row>
    <row r="85" spans="2:3" x14ac:dyDescent="0.25">
      <c r="B85" s="13"/>
      <c r="C85" s="13"/>
    </row>
    <row r="86" spans="2:3" x14ac:dyDescent="0.25">
      <c r="B86" s="13"/>
      <c r="C86" s="13"/>
    </row>
    <row r="87" spans="2:3" x14ac:dyDescent="0.25">
      <c r="B87" s="13"/>
      <c r="C87" s="13"/>
    </row>
    <row r="88" spans="2:3" x14ac:dyDescent="0.25">
      <c r="B88" s="13"/>
      <c r="C88" s="13"/>
    </row>
    <row r="89" spans="2:3" x14ac:dyDescent="0.25">
      <c r="B89" s="13"/>
      <c r="C89" s="13"/>
    </row>
    <row r="90" spans="2:3" x14ac:dyDescent="0.25">
      <c r="B90" s="13"/>
      <c r="C90" s="13"/>
    </row>
    <row r="91" spans="2:3" x14ac:dyDescent="0.25">
      <c r="B91" s="13"/>
      <c r="C91" s="13"/>
    </row>
    <row r="92" spans="2:3" x14ac:dyDescent="0.25">
      <c r="B92" s="13"/>
      <c r="C92" s="13"/>
    </row>
    <row r="93" spans="2:3" x14ac:dyDescent="0.25">
      <c r="B93" s="13"/>
      <c r="C93" s="13"/>
    </row>
    <row r="94" spans="2:3" x14ac:dyDescent="0.25">
      <c r="B94" s="13"/>
      <c r="C94" s="13"/>
    </row>
    <row r="95" spans="2:3" x14ac:dyDescent="0.25">
      <c r="B95" s="13"/>
      <c r="C95" s="13"/>
    </row>
    <row r="96" spans="2:3" x14ac:dyDescent="0.25">
      <c r="B96" s="13"/>
      <c r="C96" s="13"/>
    </row>
    <row r="97" spans="2:3" x14ac:dyDescent="0.25">
      <c r="B97" s="13"/>
      <c r="C97" s="13"/>
    </row>
    <row r="98" spans="2:3" x14ac:dyDescent="0.25">
      <c r="B98" s="13"/>
      <c r="C98" s="13"/>
    </row>
    <row r="99" spans="2:3" x14ac:dyDescent="0.25">
      <c r="B99" s="13"/>
      <c r="C99" s="13"/>
    </row>
    <row r="100" spans="2:3" x14ac:dyDescent="0.25">
      <c r="B100" s="13"/>
      <c r="C100" s="13"/>
    </row>
    <row r="101" spans="2:3" x14ac:dyDescent="0.25">
      <c r="B101" s="13"/>
      <c r="C101" s="13"/>
    </row>
    <row r="102" spans="2:3" x14ac:dyDescent="0.25">
      <c r="B102" s="13"/>
      <c r="C102" s="13"/>
    </row>
    <row r="103" spans="2:3" x14ac:dyDescent="0.25">
      <c r="B103" s="13"/>
      <c r="C103" s="13"/>
    </row>
    <row r="104" spans="2:3" x14ac:dyDescent="0.25">
      <c r="B104" s="13"/>
      <c r="C104" s="13"/>
    </row>
    <row r="105" spans="2:3" x14ac:dyDescent="0.25">
      <c r="B105" s="13"/>
      <c r="C105" s="13"/>
    </row>
    <row r="106" spans="2:3" x14ac:dyDescent="0.25">
      <c r="B106" s="13"/>
      <c r="C106" s="13"/>
    </row>
    <row r="107" spans="2:3" x14ac:dyDescent="0.25">
      <c r="B107" s="13"/>
      <c r="C107" s="13"/>
    </row>
    <row r="108" spans="2:3" x14ac:dyDescent="0.25">
      <c r="B108" s="13"/>
      <c r="C108" s="13"/>
    </row>
    <row r="109" spans="2:3" x14ac:dyDescent="0.25">
      <c r="B109" s="13"/>
      <c r="C109" s="13"/>
    </row>
    <row r="110" spans="2:3" x14ac:dyDescent="0.25">
      <c r="B110" s="13"/>
      <c r="C110" s="13"/>
    </row>
    <row r="111" spans="2:3" x14ac:dyDescent="0.25">
      <c r="B111" s="13"/>
      <c r="C111" s="13"/>
    </row>
    <row r="112" spans="2:3" x14ac:dyDescent="0.25">
      <c r="B112" s="13"/>
      <c r="C112" s="13"/>
    </row>
    <row r="113" spans="2:3" x14ac:dyDescent="0.25">
      <c r="B113" s="13"/>
      <c r="C113" s="13"/>
    </row>
    <row r="114" spans="2:3" x14ac:dyDescent="0.25">
      <c r="B114" s="13"/>
      <c r="C114" s="13"/>
    </row>
    <row r="115" spans="2:3" x14ac:dyDescent="0.25">
      <c r="B115" s="13"/>
      <c r="C115" s="13"/>
    </row>
    <row r="116" spans="2:3" x14ac:dyDescent="0.25">
      <c r="B116" s="13"/>
      <c r="C116" s="13"/>
    </row>
    <row r="117" spans="2:3" x14ac:dyDescent="0.25">
      <c r="B117" s="13"/>
      <c r="C117" s="13"/>
    </row>
    <row r="118" spans="2:3" x14ac:dyDescent="0.25">
      <c r="B118" s="13"/>
      <c r="C118" s="13"/>
    </row>
    <row r="119" spans="2:3" x14ac:dyDescent="0.25">
      <c r="B119" s="13"/>
      <c r="C119" s="13"/>
    </row>
    <row r="120" spans="2:3" x14ac:dyDescent="0.25">
      <c r="B120" s="13"/>
      <c r="C120" s="13"/>
    </row>
    <row r="121" spans="2:3" x14ac:dyDescent="0.25">
      <c r="B121" s="13"/>
      <c r="C121" s="13"/>
    </row>
    <row r="122" spans="2:3" x14ac:dyDescent="0.25">
      <c r="B122" s="13"/>
      <c r="C122" s="13"/>
    </row>
    <row r="123" spans="2:3" x14ac:dyDescent="0.25">
      <c r="B123" s="13"/>
      <c r="C123" s="13"/>
    </row>
    <row r="124" spans="2:3" x14ac:dyDescent="0.25">
      <c r="B124" s="13"/>
      <c r="C124" s="13"/>
    </row>
    <row r="125" spans="2:3" x14ac:dyDescent="0.25">
      <c r="B125" s="13"/>
      <c r="C125" s="13"/>
    </row>
    <row r="126" spans="2:3" x14ac:dyDescent="0.25">
      <c r="B126" s="13"/>
      <c r="C126" s="13"/>
    </row>
    <row r="127" spans="2:3" x14ac:dyDescent="0.25">
      <c r="B127" s="13"/>
      <c r="C127" s="13"/>
    </row>
    <row r="128" spans="2:3" x14ac:dyDescent="0.25">
      <c r="B128" s="13"/>
      <c r="C128" s="13"/>
    </row>
    <row r="129" spans="2:3" x14ac:dyDescent="0.25">
      <c r="B129" s="13"/>
      <c r="C129" s="13"/>
    </row>
    <row r="130" spans="2:3" x14ac:dyDescent="0.25">
      <c r="B130" s="13"/>
      <c r="C130" s="13"/>
    </row>
    <row r="131" spans="2:3" x14ac:dyDescent="0.25">
      <c r="B131" s="13"/>
      <c r="C131" s="13"/>
    </row>
    <row r="132" spans="2:3" x14ac:dyDescent="0.25">
      <c r="B132" s="13"/>
      <c r="C132" s="13"/>
    </row>
    <row r="133" spans="2:3" x14ac:dyDescent="0.25">
      <c r="B133" s="13"/>
      <c r="C133" s="13"/>
    </row>
    <row r="134" spans="2:3" x14ac:dyDescent="0.25">
      <c r="B134" s="13"/>
      <c r="C134" s="13"/>
    </row>
    <row r="135" spans="2:3" x14ac:dyDescent="0.25">
      <c r="B135" s="13"/>
      <c r="C135" s="13"/>
    </row>
    <row r="136" spans="2:3" x14ac:dyDescent="0.25">
      <c r="B136" s="13"/>
      <c r="C136" s="13"/>
    </row>
    <row r="137" spans="2:3" x14ac:dyDescent="0.25">
      <c r="B137" s="13"/>
      <c r="C137" s="13"/>
    </row>
    <row r="138" spans="2:3" x14ac:dyDescent="0.25">
      <c r="B138" s="13"/>
      <c r="C138" s="13"/>
    </row>
    <row r="139" spans="2:3" x14ac:dyDescent="0.25">
      <c r="B139" s="13"/>
      <c r="C139" s="13"/>
    </row>
    <row r="140" spans="2:3" x14ac:dyDescent="0.25">
      <c r="B140" s="13"/>
      <c r="C140" s="13"/>
    </row>
    <row r="141" spans="2:3" x14ac:dyDescent="0.25">
      <c r="B141" s="13"/>
      <c r="C141" s="13"/>
    </row>
    <row r="142" spans="2:3" x14ac:dyDescent="0.25">
      <c r="B142" s="13"/>
      <c r="C142" s="13"/>
    </row>
    <row r="143" spans="2:3" x14ac:dyDescent="0.25">
      <c r="B143" s="13"/>
      <c r="C143" s="13"/>
    </row>
    <row r="144" spans="2:3" x14ac:dyDescent="0.25">
      <c r="B144" s="13"/>
      <c r="C144" s="13"/>
    </row>
    <row r="145" spans="2:3" x14ac:dyDescent="0.25">
      <c r="B145" s="13"/>
      <c r="C145" s="13"/>
    </row>
    <row r="146" spans="2:3" x14ac:dyDescent="0.25">
      <c r="B146" s="13"/>
      <c r="C146" s="13"/>
    </row>
    <row r="147" spans="2:3" x14ac:dyDescent="0.25">
      <c r="B147" s="13"/>
      <c r="C147" s="13"/>
    </row>
    <row r="148" spans="2:3" x14ac:dyDescent="0.25">
      <c r="B148" s="13"/>
      <c r="C148" s="13"/>
    </row>
    <row r="149" spans="2:3" x14ac:dyDescent="0.25">
      <c r="B149" s="13"/>
      <c r="C149" s="13"/>
    </row>
    <row r="150" spans="2:3" x14ac:dyDescent="0.25">
      <c r="B150" s="13"/>
      <c r="C150" s="13"/>
    </row>
    <row r="151" spans="2:3" x14ac:dyDescent="0.25">
      <c r="B151" s="13"/>
      <c r="C151" s="13"/>
    </row>
    <row r="152" spans="2:3" x14ac:dyDescent="0.25">
      <c r="B152" s="13"/>
      <c r="C152" s="13"/>
    </row>
    <row r="153" spans="2:3" x14ac:dyDescent="0.25">
      <c r="B153" s="13"/>
      <c r="C153" s="13"/>
    </row>
    <row r="154" spans="2:3" x14ac:dyDescent="0.25">
      <c r="B154" s="13"/>
      <c r="C154" s="13"/>
    </row>
    <row r="155" spans="2:3" x14ac:dyDescent="0.25">
      <c r="B155" s="13"/>
      <c r="C155" s="13"/>
    </row>
    <row r="156" spans="2:3" x14ac:dyDescent="0.25">
      <c r="B156" s="13"/>
      <c r="C156" s="13"/>
    </row>
    <row r="157" spans="2:3" x14ac:dyDescent="0.25">
      <c r="B157" s="13"/>
      <c r="C157" s="13"/>
    </row>
    <row r="158" spans="2:3" x14ac:dyDescent="0.25">
      <c r="B158" s="13"/>
      <c r="C158" s="13"/>
    </row>
    <row r="159" spans="2:3" x14ac:dyDescent="0.25">
      <c r="B159" s="13"/>
      <c r="C159" s="13"/>
    </row>
    <row r="160" spans="2:3" x14ac:dyDescent="0.25">
      <c r="B160" s="13"/>
      <c r="C160" s="13"/>
    </row>
    <row r="161" spans="2:3" x14ac:dyDescent="0.25">
      <c r="B161" s="13"/>
      <c r="C161" s="13"/>
    </row>
    <row r="162" spans="2:3" x14ac:dyDescent="0.25">
      <c r="B162" s="13"/>
      <c r="C162" s="13"/>
    </row>
    <row r="163" spans="2:3" x14ac:dyDescent="0.25">
      <c r="B163" s="13"/>
      <c r="C163" s="13"/>
    </row>
    <row r="164" spans="2:3" x14ac:dyDescent="0.25">
      <c r="B164" s="13"/>
      <c r="C164" s="13"/>
    </row>
    <row r="165" spans="2:3" x14ac:dyDescent="0.25">
      <c r="B165" s="13"/>
      <c r="C165" s="13"/>
    </row>
    <row r="166" spans="2:3" x14ac:dyDescent="0.25">
      <c r="B166" s="13"/>
      <c r="C166" s="13"/>
    </row>
    <row r="167" spans="2:3" x14ac:dyDescent="0.25">
      <c r="B167" s="13"/>
      <c r="C167" s="13"/>
    </row>
    <row r="168" spans="2:3" x14ac:dyDescent="0.25">
      <c r="B168" s="13"/>
      <c r="C168" s="13"/>
    </row>
    <row r="169" spans="2:3" x14ac:dyDescent="0.25">
      <c r="B169" s="13"/>
      <c r="C169" s="13"/>
    </row>
    <row r="170" spans="2:3" x14ac:dyDescent="0.25">
      <c r="B170" s="13"/>
      <c r="C170" s="13"/>
    </row>
    <row r="171" spans="2:3" x14ac:dyDescent="0.25">
      <c r="B171" s="13"/>
      <c r="C171" s="13"/>
    </row>
    <row r="172" spans="2:3" x14ac:dyDescent="0.25">
      <c r="B172" s="13"/>
      <c r="C172" s="13"/>
    </row>
    <row r="173" spans="2:3" x14ac:dyDescent="0.25">
      <c r="B173" s="13"/>
      <c r="C173" s="13"/>
    </row>
    <row r="174" spans="2:3" x14ac:dyDescent="0.25">
      <c r="B174" s="13"/>
      <c r="C174" s="13"/>
    </row>
    <row r="175" spans="2:3" x14ac:dyDescent="0.25">
      <c r="B175" s="13"/>
      <c r="C175" s="13"/>
    </row>
    <row r="176" spans="2:3" x14ac:dyDescent="0.25">
      <c r="B176" s="13"/>
      <c r="C176" s="13"/>
    </row>
    <row r="177" spans="2:3" x14ac:dyDescent="0.25">
      <c r="B177" s="13"/>
      <c r="C177" s="13"/>
    </row>
    <row r="178" spans="2:3" x14ac:dyDescent="0.25">
      <c r="B178" s="13"/>
      <c r="C178" s="13"/>
    </row>
    <row r="179" spans="2:3" x14ac:dyDescent="0.25">
      <c r="B179" s="13"/>
      <c r="C179" s="13"/>
    </row>
  </sheetData>
  <mergeCells count="2">
    <mergeCell ref="N14:Q14"/>
    <mergeCell ref="K14:L14"/>
  </mergeCells>
  <phoneticPr fontId="1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Y35"/>
  <sheetViews>
    <sheetView topLeftCell="A2" zoomScale="77" zoomScaleNormal="100" workbookViewId="0">
      <selection activeCell="W14" sqref="W14"/>
    </sheetView>
  </sheetViews>
  <sheetFormatPr defaultRowHeight="12.75" x14ac:dyDescent="0.2"/>
  <cols>
    <col min="1" max="3" width="9.140625" style="28"/>
    <col min="4" max="4" width="11" style="28" bestFit="1" customWidth="1"/>
    <col min="5" max="5" width="6.42578125" style="28" bestFit="1" customWidth="1"/>
    <col min="6" max="6" width="10.28515625" style="28" bestFit="1" customWidth="1"/>
    <col min="7" max="7" width="9.28515625" style="28" bestFit="1" customWidth="1"/>
    <col min="8" max="10" width="9.140625" style="28"/>
    <col min="11" max="11" width="11" style="28" bestFit="1" customWidth="1"/>
    <col min="12" max="14" width="9.140625" style="28"/>
    <col min="15" max="15" width="9.28515625" style="28" bestFit="1" customWidth="1"/>
    <col min="16" max="17" width="9.140625" style="28"/>
    <col min="18" max="18" width="9.28515625" style="28" bestFit="1" customWidth="1"/>
    <col min="19" max="20" width="9.140625" style="28"/>
    <col min="21" max="21" width="9.28515625" style="28" bestFit="1" customWidth="1"/>
    <col min="22" max="16384" width="9.140625" style="28"/>
  </cols>
  <sheetData>
    <row r="2" spans="2:25" x14ac:dyDescent="0.2">
      <c r="W2" s="28">
        <v>0</v>
      </c>
      <c r="X2" s="28">
        <f t="shared" ref="X2:X23" si="0">1-W2/$W$23</f>
        <v>1</v>
      </c>
      <c r="Y2" s="28">
        <v>0</v>
      </c>
    </row>
    <row r="3" spans="2:25" ht="15" x14ac:dyDescent="0.25">
      <c r="B3" s="126"/>
      <c r="W3" s="28">
        <v>1</v>
      </c>
      <c r="X3" s="28">
        <f t="shared" si="0"/>
        <v>0.95</v>
      </c>
      <c r="Y3" s="28">
        <v>0.10919502691172701</v>
      </c>
    </row>
    <row r="4" spans="2:25" ht="15" x14ac:dyDescent="0.25">
      <c r="B4" s="126"/>
      <c r="W4" s="28">
        <v>2</v>
      </c>
      <c r="X4" s="28">
        <f t="shared" si="0"/>
        <v>0.9</v>
      </c>
      <c r="Y4" s="28">
        <v>0.22081654498465042</v>
      </c>
    </row>
    <row r="5" spans="2:25" ht="15" x14ac:dyDescent="0.25">
      <c r="B5" s="131"/>
      <c r="W5" s="28">
        <v>3</v>
      </c>
      <c r="X5" s="28">
        <f t="shared" si="0"/>
        <v>0.85</v>
      </c>
      <c r="Y5" s="28">
        <v>0.30724700978103087</v>
      </c>
    </row>
    <row r="6" spans="2:25" ht="15" x14ac:dyDescent="0.25">
      <c r="B6" s="126"/>
      <c r="W6" s="28">
        <v>3.5</v>
      </c>
      <c r="X6" s="28">
        <f t="shared" si="0"/>
        <v>0.82499999999999996</v>
      </c>
      <c r="Y6" s="28">
        <v>0.34035478699879085</v>
      </c>
    </row>
    <row r="7" spans="2:25" ht="15" x14ac:dyDescent="0.25">
      <c r="B7" s="126"/>
      <c r="W7" s="28">
        <v>4</v>
      </c>
      <c r="X7" s="28">
        <f t="shared" si="0"/>
        <v>0.8</v>
      </c>
      <c r="Y7" s="28">
        <v>0.43825868469035834</v>
      </c>
    </row>
    <row r="8" spans="2:25" x14ac:dyDescent="0.2">
      <c r="W8" s="28">
        <v>5</v>
      </c>
      <c r="X8" s="28">
        <f t="shared" si="0"/>
        <v>0.75</v>
      </c>
      <c r="Y8" s="28">
        <v>0.5592335836515524</v>
      </c>
    </row>
    <row r="9" spans="2:25" x14ac:dyDescent="0.2">
      <c r="W9" s="28">
        <v>6</v>
      </c>
      <c r="X9" s="28">
        <f t="shared" si="0"/>
        <v>0.7</v>
      </c>
      <c r="Y9" s="28">
        <v>0.67590858559320022</v>
      </c>
    </row>
    <row r="10" spans="2:25" ht="15" x14ac:dyDescent="0.25">
      <c r="B10" s="126"/>
      <c r="W10" s="28">
        <v>7</v>
      </c>
      <c r="X10" s="28">
        <f t="shared" si="0"/>
        <v>0.65</v>
      </c>
      <c r="Y10" s="28">
        <v>0.78498857596132698</v>
      </c>
    </row>
    <row r="11" spans="2:25" ht="15" x14ac:dyDescent="0.25">
      <c r="B11" s="129"/>
      <c r="W11" s="28">
        <v>8</v>
      </c>
      <c r="X11" s="28">
        <f t="shared" si="0"/>
        <v>0.6</v>
      </c>
      <c r="Y11" s="28">
        <v>0.86735539110312576</v>
      </c>
    </row>
    <row r="12" spans="2:25" ht="15" x14ac:dyDescent="0.25">
      <c r="B12" s="129"/>
      <c r="W12" s="28">
        <v>9</v>
      </c>
      <c r="X12" s="28">
        <f t="shared" si="0"/>
        <v>0.55000000000000004</v>
      </c>
      <c r="Y12" s="28">
        <v>0.9374747138953422</v>
      </c>
    </row>
    <row r="13" spans="2:25" ht="15" x14ac:dyDescent="0.25">
      <c r="B13" s="129"/>
      <c r="W13" s="28">
        <v>10</v>
      </c>
      <c r="X13" s="28">
        <f t="shared" si="0"/>
        <v>0.5</v>
      </c>
      <c r="Y13" s="28">
        <v>0.98781912485786971</v>
      </c>
    </row>
    <row r="14" spans="2:25" x14ac:dyDescent="0.2">
      <c r="W14" s="28">
        <v>11</v>
      </c>
      <c r="X14" s="28">
        <f t="shared" si="0"/>
        <v>0.44999999999999996</v>
      </c>
      <c r="Y14" s="28">
        <v>1</v>
      </c>
    </row>
    <row r="15" spans="2:25" x14ac:dyDescent="0.2">
      <c r="W15" s="28">
        <v>12</v>
      </c>
      <c r="X15" s="28">
        <f t="shared" si="0"/>
        <v>0.4</v>
      </c>
      <c r="Y15" s="28">
        <v>0.96590011383418428</v>
      </c>
    </row>
    <row r="16" spans="2:25" ht="15" x14ac:dyDescent="0.25">
      <c r="B16" s="129"/>
      <c r="D16" s="38"/>
      <c r="W16" s="28">
        <v>13</v>
      </c>
      <c r="X16" s="28">
        <f t="shared" si="0"/>
        <v>0.35</v>
      </c>
      <c r="Y16" s="28">
        <v>0.8881792802286953</v>
      </c>
    </row>
    <row r="17" spans="2:25" ht="15" x14ac:dyDescent="0.25">
      <c r="B17" s="131"/>
      <c r="D17" s="38"/>
      <c r="W17" s="28">
        <v>14</v>
      </c>
      <c r="X17" s="28">
        <f t="shared" si="0"/>
        <v>0.30000000000000004</v>
      </c>
      <c r="Y17" s="28">
        <v>0.78200250025753237</v>
      </c>
    </row>
    <row r="18" spans="2:25" ht="15" x14ac:dyDescent="0.25">
      <c r="B18" s="126"/>
      <c r="D18" s="38"/>
      <c r="W18" s="28">
        <v>15</v>
      </c>
      <c r="X18" s="28">
        <f t="shared" si="0"/>
        <v>0.25</v>
      </c>
      <c r="Y18" s="28">
        <v>0.66642456998592592</v>
      </c>
    </row>
    <row r="19" spans="2:25" x14ac:dyDescent="0.2">
      <c r="B19" s="30"/>
      <c r="W19" s="28">
        <v>16</v>
      </c>
      <c r="X19" s="28">
        <f t="shared" si="0"/>
        <v>0.19999999999999996</v>
      </c>
      <c r="Y19" s="28">
        <v>0.53276185518199004</v>
      </c>
    </row>
    <row r="20" spans="2:25" ht="15" x14ac:dyDescent="0.25">
      <c r="C20" s="126" t="s">
        <v>174</v>
      </c>
      <c r="D20" s="28">
        <f>IF(D19="",B18*B19,B18*D19)</f>
        <v>0</v>
      </c>
      <c r="W20" s="28">
        <v>17</v>
      </c>
      <c r="X20" s="28">
        <f t="shared" si="0"/>
        <v>0.15000000000000002</v>
      </c>
      <c r="Y20" s="28">
        <v>0.38807350510174071</v>
      </c>
    </row>
    <row r="21" spans="2:25" x14ac:dyDescent="0.2">
      <c r="W21" s="28">
        <v>18</v>
      </c>
      <c r="X21" s="28">
        <f t="shared" si="0"/>
        <v>9.9999999999999978E-2</v>
      </c>
      <c r="Y21" s="28">
        <v>0.25773580135463658</v>
      </c>
    </row>
    <row r="22" spans="2:25" x14ac:dyDescent="0.2">
      <c r="W22" s="28">
        <v>19</v>
      </c>
      <c r="X22" s="28">
        <f t="shared" si="0"/>
        <v>5.0000000000000044E-2</v>
      </c>
      <c r="Y22" s="28">
        <v>0.15205881292035864</v>
      </c>
    </row>
    <row r="23" spans="2:25" x14ac:dyDescent="0.2">
      <c r="W23" s="28">
        <v>20</v>
      </c>
      <c r="X23" s="28">
        <f t="shared" si="0"/>
        <v>0</v>
      </c>
      <c r="Y23" s="28">
        <v>8.8754267969504266E-2</v>
      </c>
    </row>
    <row r="34" spans="1:21" ht="15" x14ac:dyDescent="0.25">
      <c r="A34" s="28" t="s">
        <v>102</v>
      </c>
      <c r="C34" s="88" t="s">
        <v>149</v>
      </c>
      <c r="D34" s="59" t="s">
        <v>134</v>
      </c>
      <c r="E34" s="196">
        <f>-'Cp Ref Calcs'!K35</f>
        <v>1.288037600000564</v>
      </c>
      <c r="F34" s="59" t="s">
        <v>272</v>
      </c>
      <c r="G34" s="223">
        <f>DEGREES(ATAN(E34))</f>
        <v>52.175134438616958</v>
      </c>
      <c r="H34" s="59" t="s">
        <v>124</v>
      </c>
      <c r="I34" s="98"/>
      <c r="J34" s="59" t="s">
        <v>97</v>
      </c>
      <c r="K34" s="196">
        <f>-Inputs!$B$12</f>
        <v>1.2050000000000001</v>
      </c>
      <c r="L34" s="98"/>
      <c r="M34" s="98"/>
      <c r="N34" s="98" t="s">
        <v>22</v>
      </c>
      <c r="O34" s="190">
        <f>Inputs!B4</f>
        <v>14.19877265707551</v>
      </c>
      <c r="P34" s="98"/>
      <c r="Q34" s="98" t="s">
        <v>6</v>
      </c>
      <c r="R34" s="196">
        <f>Inputs!B10</f>
        <v>0.60119999999999996</v>
      </c>
      <c r="S34" s="98"/>
      <c r="T34" s="98" t="s">
        <v>93</v>
      </c>
      <c r="U34" s="196">
        <f>Inputs!D11</f>
        <v>4.9784659414986834</v>
      </c>
    </row>
    <row r="35" spans="1:21" ht="15" x14ac:dyDescent="0.25">
      <c r="D35" s="59" t="s">
        <v>135</v>
      </c>
      <c r="E35" s="203"/>
      <c r="F35" s="59" t="s">
        <v>272</v>
      </c>
      <c r="G35" s="223">
        <f>DEGREES(ATAN(E35))</f>
        <v>0</v>
      </c>
      <c r="H35" s="59" t="s">
        <v>124</v>
      </c>
      <c r="I35" s="98"/>
      <c r="J35" s="98" t="s">
        <v>101</v>
      </c>
      <c r="K35" s="204">
        <f>Inputs!B3</f>
        <v>126.49353816142404</v>
      </c>
      <c r="L35" s="98"/>
      <c r="M35" s="98"/>
      <c r="N35" s="98" t="s">
        <v>100</v>
      </c>
      <c r="O35" s="190">
        <f>Inputs!B6</f>
        <v>4.8514589937413639</v>
      </c>
      <c r="P35" s="98"/>
      <c r="Q35" s="98" t="s">
        <v>94</v>
      </c>
      <c r="R35" s="196">
        <f>Inputs!B13</f>
        <v>0.81430000000000002</v>
      </c>
      <c r="S35" s="98"/>
      <c r="T35" s="98" t="s">
        <v>91</v>
      </c>
      <c r="U35" s="196">
        <f>Inputs!B11</f>
        <v>8.8754E-2</v>
      </c>
    </row>
  </sheetData>
  <phoneticPr fontId="1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73"/>
  <sheetViews>
    <sheetView tabSelected="1" zoomScale="77" zoomScaleNormal="100" workbookViewId="0">
      <selection activeCell="D11" sqref="D11"/>
    </sheetView>
  </sheetViews>
  <sheetFormatPr defaultRowHeight="12.75" x14ac:dyDescent="0.2"/>
  <cols>
    <col min="1" max="1" width="5" style="28" bestFit="1" customWidth="1"/>
    <col min="2" max="2" width="9.140625" style="28"/>
    <col min="3" max="3" width="15.5703125" style="28" customWidth="1"/>
    <col min="4" max="4" width="11.5703125" style="28" bestFit="1" customWidth="1"/>
    <col min="5" max="5" width="9.85546875" style="28" bestFit="1" customWidth="1"/>
    <col min="6" max="6" width="10.28515625" style="28" bestFit="1" customWidth="1"/>
    <col min="7" max="16384" width="9.140625" style="28"/>
  </cols>
  <sheetData>
    <row r="1" spans="23:26" x14ac:dyDescent="0.2">
      <c r="W1" s="55" t="s">
        <v>115</v>
      </c>
      <c r="X1" s="55" t="s">
        <v>118</v>
      </c>
      <c r="Y1" s="55" t="s">
        <v>370</v>
      </c>
      <c r="Z1" s="55" t="s">
        <v>136</v>
      </c>
    </row>
    <row r="2" spans="23:26" ht="15" x14ac:dyDescent="0.25">
      <c r="W2" s="195">
        <f>'Profile Calcs'!B1</f>
        <v>-126.49353816142404</v>
      </c>
      <c r="X2" s="130">
        <f>'Cxx Selected'!I4</f>
        <v>4.3174562987685938</v>
      </c>
      <c r="Y2" s="128">
        <f>'Cxx Selected'!B4</f>
        <v>0</v>
      </c>
      <c r="Z2" s="128">
        <f>'Cxx Selected'!H4</f>
        <v>0.60814500000000005</v>
      </c>
    </row>
    <row r="3" spans="23:26" ht="15" x14ac:dyDescent="0.25">
      <c r="W3" s="195">
        <f>($W$22-$W$2)*Y3+$W$2</f>
        <v>-120.16886125335284</v>
      </c>
      <c r="X3" s="130">
        <f>'Cxx Selected'!I5</f>
        <v>4.7512875356572248</v>
      </c>
      <c r="Y3" s="128">
        <f>'Cxx Selected'!B5</f>
        <v>0.05</v>
      </c>
      <c r="Z3" s="128">
        <f>'Cxx Selected'!H5</f>
        <v>0.66925327285799885</v>
      </c>
    </row>
    <row r="4" spans="23:26" ht="15" x14ac:dyDescent="0.25">
      <c r="W4" s="195">
        <f t="shared" ref="W4:W21" si="0">($W$22-$W$2)*Y4+$W$2</f>
        <v>-113.84418434528163</v>
      </c>
      <c r="X4" s="130">
        <f>'Cxx Selected'!I6</f>
        <v>5.1669140051513978</v>
      </c>
      <c r="Y4" s="128">
        <f>'Cxx Selected'!B6</f>
        <v>0.1</v>
      </c>
      <c r="Z4" s="128">
        <f>'Cxx Selected'!H6</f>
        <v>0.7277972723334829</v>
      </c>
    </row>
    <row r="5" spans="23:26" ht="15" x14ac:dyDescent="0.25">
      <c r="W5" s="195">
        <f t="shared" si="0"/>
        <v>-107.51950743721044</v>
      </c>
      <c r="X5" s="130">
        <f>'Cxx Selected'!I7</f>
        <v>5.5718841827978496</v>
      </c>
      <c r="Y5" s="128">
        <f>'Cxx Selected'!B7</f>
        <v>0.15</v>
      </c>
      <c r="Z5" s="128">
        <f>'Cxx Selected'!H7</f>
        <v>0.78484025589652306</v>
      </c>
    </row>
    <row r="6" spans="23:26" ht="15" x14ac:dyDescent="0.25">
      <c r="W6" s="195">
        <f t="shared" si="0"/>
        <v>-101.19483052913924</v>
      </c>
      <c r="X6" s="130">
        <f>'Cxx Selected'!I8</f>
        <v>5.9613346378560355</v>
      </c>
      <c r="Y6" s="128">
        <f>'Cxx Selected'!B8</f>
        <v>0.2</v>
      </c>
      <c r="Z6" s="128">
        <f>'Cxx Selected'!H8</f>
        <v>0.83969717409136657</v>
      </c>
    </row>
    <row r="7" spans="23:26" ht="15" x14ac:dyDescent="0.25">
      <c r="W7" s="195">
        <f t="shared" si="0"/>
        <v>-94.870153621068027</v>
      </c>
      <c r="X7" s="130">
        <f>'Cxx Selected'!I9</f>
        <v>6.3220120830335524</v>
      </c>
      <c r="Y7" s="128">
        <f>'Cxx Selected'!B9</f>
        <v>0.25</v>
      </c>
      <c r="Z7" s="128">
        <f>'Cxx Selected'!H9</f>
        <v>0.89050120538174504</v>
      </c>
    </row>
    <row r="8" spans="23:26" ht="15" x14ac:dyDescent="0.25">
      <c r="W8" s="195">
        <f t="shared" si="0"/>
        <v>-88.54547671299683</v>
      </c>
      <c r="X8" s="130">
        <f>'Cxx Selected'!I10</f>
        <v>6.6357700730737044</v>
      </c>
      <c r="Y8" s="128">
        <f>'Cxx Selected'!B10</f>
        <v>0.3</v>
      </c>
      <c r="Z8" s="128">
        <f>'Cxx Selected'!H10</f>
        <v>0.93469629148079614</v>
      </c>
    </row>
    <row r="9" spans="23:26" ht="15" x14ac:dyDescent="0.25">
      <c r="W9" s="195">
        <f t="shared" si="0"/>
        <v>-82.220799804925633</v>
      </c>
      <c r="X9" s="130">
        <f>'Cxx Selected'!I11</f>
        <v>6.8825403521952069</v>
      </c>
      <c r="Y9" s="128">
        <f>'Cxx Selected'!B11</f>
        <v>0.35</v>
      </c>
      <c r="Z9" s="128">
        <f>'Cxx Selected'!H11</f>
        <v>0.96945567316559722</v>
      </c>
    </row>
    <row r="10" spans="23:26" ht="15" x14ac:dyDescent="0.25">
      <c r="W10" s="195">
        <f t="shared" si="0"/>
        <v>-75.896122896854422</v>
      </c>
      <c r="X10" s="130">
        <f>'Cxx Selected'!I12</f>
        <v>7.0427788503840265</v>
      </c>
      <c r="Y10" s="128">
        <f>'Cxx Selected'!B12</f>
        <v>0.4</v>
      </c>
      <c r="Z10" s="128">
        <f>'Cxx Selected'!H12</f>
        <v>0.99202642657631113</v>
      </c>
    </row>
    <row r="11" spans="23:26" ht="15" x14ac:dyDescent="0.25">
      <c r="W11" s="195">
        <f t="shared" si="0"/>
        <v>-69.571445988783225</v>
      </c>
      <c r="X11" s="130">
        <f>'Cxx Selected'!I13</f>
        <v>7.0993863285373875</v>
      </c>
      <c r="Y11" s="128">
        <f>'Cxx Selected'!B13</f>
        <v>0.45</v>
      </c>
      <c r="Z11" s="128">
        <f>'Cxx Selected'!H13</f>
        <v>0.99999999999994815</v>
      </c>
    </row>
    <row r="12" spans="23:26" ht="15" x14ac:dyDescent="0.25">
      <c r="W12" s="195">
        <f t="shared" si="0"/>
        <v>-63.246769080712021</v>
      </c>
      <c r="X12" s="130">
        <f>'Cxx Selected'!I14</f>
        <v>7.0391036724598841</v>
      </c>
      <c r="Y12" s="128">
        <f>'Cxx Selected'!B14</f>
        <v>0.5</v>
      </c>
      <c r="Z12" s="128">
        <f>'Cxx Selected'!H14</f>
        <v>0.99150875113873571</v>
      </c>
    </row>
    <row r="13" spans="23:26" ht="15" x14ac:dyDescent="0.25">
      <c r="W13" s="195">
        <f t="shared" si="0"/>
        <v>-56.922092172640816</v>
      </c>
      <c r="X13" s="130">
        <f>'Cxx Selected'!I15</f>
        <v>6.8533818357117688</v>
      </c>
      <c r="Y13" s="128">
        <f>'Cxx Selected'!B15</f>
        <v>0.55000000000000004</v>
      </c>
      <c r="Z13" s="128">
        <f>'Cxx Selected'!H15</f>
        <v>0.96534848486310576</v>
      </c>
    </row>
    <row r="14" spans="23:26" ht="15" x14ac:dyDescent="0.25">
      <c r="W14" s="195">
        <f t="shared" si="0"/>
        <v>-50.597415264569619</v>
      </c>
      <c r="X14" s="130">
        <f>'Cxx Selected'!I16</f>
        <v>6.538726431309354</v>
      </c>
      <c r="Y14" s="128">
        <f>'Cxx Selected'!B16</f>
        <v>0.6</v>
      </c>
      <c r="Z14" s="128">
        <f>'Cxx Selected'!H16</f>
        <v>0.92102699144929068</v>
      </c>
    </row>
    <row r="15" spans="23:26" ht="15" x14ac:dyDescent="0.25">
      <c r="W15" s="195">
        <f t="shared" si="0"/>
        <v>-44.272738356498408</v>
      </c>
      <c r="X15" s="130">
        <f>'Cxx Selected'!I17</f>
        <v>6.0965169722775912</v>
      </c>
      <c r="Y15" s="128">
        <f>'Cxx Selected'!B17</f>
        <v>0.65</v>
      </c>
      <c r="Z15" s="128">
        <f>'Cxx Selected'!H17</f>
        <v>0.8587385853015379</v>
      </c>
    </row>
    <row r="16" spans="23:26" ht="15" x14ac:dyDescent="0.25">
      <c r="W16" s="195">
        <f t="shared" si="0"/>
        <v>-37.948061448427211</v>
      </c>
      <c r="X16" s="130">
        <f>'Cxx Selected'!I18</f>
        <v>5.5323007610547359</v>
      </c>
      <c r="Y16" s="128">
        <f>'Cxx Selected'!B18</f>
        <v>0.7</v>
      </c>
      <c r="Z16" s="128">
        <f>'Cxx Selected'!H18</f>
        <v>0.77926464415892849</v>
      </c>
    </row>
    <row r="17" spans="23:26" ht="15" x14ac:dyDescent="0.25">
      <c r="W17" s="195">
        <f t="shared" si="0"/>
        <v>-31.623384540356014</v>
      </c>
      <c r="X17" s="130">
        <f>'Cxx Selected'!I19</f>
        <v>4.8545614277492115</v>
      </c>
      <c r="Y17" s="128">
        <f>'Cxx Selected'!B19</f>
        <v>0.75</v>
      </c>
      <c r="Z17" s="128">
        <f>'Cxx Selected'!H19</f>
        <v>0.68380014878681705</v>
      </c>
    </row>
    <row r="18" spans="23:26" ht="15" x14ac:dyDescent="0.25">
      <c r="W18" s="195">
        <f t="shared" si="0"/>
        <v>-25.298707632284803</v>
      </c>
      <c r="X18" s="130">
        <f>'Cxx Selected'!I20</f>
        <v>4.0729621172485997</v>
      </c>
      <c r="Y18" s="128">
        <f>'Cxx Selected'!B20</f>
        <v>0.8</v>
      </c>
      <c r="Z18" s="128">
        <f>'Cxx Selected'!H20</f>
        <v>0.57370622315288178</v>
      </c>
    </row>
    <row r="19" spans="23:26" ht="15" x14ac:dyDescent="0.25">
      <c r="W19" s="195">
        <f t="shared" si="0"/>
        <v>-18.974030724213605</v>
      </c>
      <c r="X19" s="130">
        <f>'Cxx Selected'!I21</f>
        <v>3.19606332518075</v>
      </c>
      <c r="Y19" s="128">
        <f>'Cxx Selected'!B21</f>
        <v>0.85</v>
      </c>
      <c r="Z19" s="128">
        <f>'Cxx Selected'!H21</f>
        <v>0.45018867508778548</v>
      </c>
    </row>
    <row r="20" spans="23:26" ht="15" x14ac:dyDescent="0.25">
      <c r="W20" s="195">
        <f t="shared" si="0"/>
        <v>-12.649353816142408</v>
      </c>
      <c r="X20" s="130">
        <f>'Cxx Selected'!I22</f>
        <v>2.2285153827270259</v>
      </c>
      <c r="Y20" s="128">
        <f>'Cxx Selected'!B22</f>
        <v>0.9</v>
      </c>
      <c r="Z20" s="128">
        <f>'Cxx Selected'!H22</f>
        <v>0.31390253743044694</v>
      </c>
    </row>
    <row r="21" spans="23:26" ht="15" x14ac:dyDescent="0.25">
      <c r="W21" s="195">
        <f t="shared" si="0"/>
        <v>-6.3246769080712113</v>
      </c>
      <c r="X21" s="130">
        <f>'Cxx Selected'!I23</f>
        <v>1.1677255902877577</v>
      </c>
      <c r="Y21" s="128">
        <f>'Cxx Selected'!B23</f>
        <v>0.95</v>
      </c>
      <c r="Z21" s="128">
        <f>'Cxx Selected'!H23</f>
        <v>0.16448260965793526</v>
      </c>
    </row>
    <row r="22" spans="23:26" ht="15" x14ac:dyDescent="0.25">
      <c r="W22" s="195">
        <f>'Profile Calcs'!B2</f>
        <v>0</v>
      </c>
      <c r="X22" s="130">
        <f>'Cxx Selected'!I24</f>
        <v>-2.2699878228436815E-13</v>
      </c>
      <c r="Y22" s="128">
        <f>'Cxx Selected'!B24</f>
        <v>1</v>
      </c>
      <c r="Z22" s="128">
        <f>'Cxx Selected'!H24</f>
        <v>-3.1974423109204508E-14</v>
      </c>
    </row>
    <row r="37" spans="1:14" ht="15" x14ac:dyDescent="0.25">
      <c r="A37" s="28" t="s">
        <v>102</v>
      </c>
      <c r="C37" s="98" t="s">
        <v>101</v>
      </c>
      <c r="D37" s="195">
        <f>Inputs!B3</f>
        <v>126.49353816142404</v>
      </c>
      <c r="F37" s="59" t="s">
        <v>141</v>
      </c>
      <c r="G37" s="128">
        <f>Inputs!B4/2</f>
        <v>7.0993863285377552</v>
      </c>
      <c r="I37" s="55" t="s">
        <v>95</v>
      </c>
      <c r="J37" s="128">
        <f>Inputs!B16</f>
        <v>0.74170000000000003</v>
      </c>
      <c r="L37" s="59" t="s">
        <v>148</v>
      </c>
      <c r="M37" s="128">
        <f>Inputs!D17/2</f>
        <v>2.7248632955376735</v>
      </c>
      <c r="N37" s="59" t="s">
        <v>125</v>
      </c>
    </row>
    <row r="38" spans="1:14" ht="15" x14ac:dyDescent="0.25">
      <c r="C38" s="98"/>
      <c r="L38" s="59" t="s">
        <v>90</v>
      </c>
      <c r="M38" s="128">
        <f>Inputs!B17</f>
        <v>0.60814500000000005</v>
      </c>
      <c r="N38" s="59" t="s">
        <v>339</v>
      </c>
    </row>
    <row r="39" spans="1:14" x14ac:dyDescent="0.2">
      <c r="B39" s="55" t="s">
        <v>338</v>
      </c>
      <c r="C39" s="98"/>
    </row>
    <row r="40" spans="1:14" ht="15" x14ac:dyDescent="0.25">
      <c r="A40" s="55"/>
      <c r="B40" s="59" t="s">
        <v>164</v>
      </c>
      <c r="C40" s="59" t="s">
        <v>120</v>
      </c>
      <c r="D40" s="199">
        <v>6.5301</v>
      </c>
      <c r="E40" s="55" t="s">
        <v>337</v>
      </c>
    </row>
    <row r="41" spans="1:14" x14ac:dyDescent="0.2">
      <c r="B41" s="98"/>
      <c r="C41" s="98"/>
    </row>
    <row r="42" spans="1:14" ht="15" x14ac:dyDescent="0.25">
      <c r="B42" s="59" t="s">
        <v>165</v>
      </c>
      <c r="C42" s="227" t="s">
        <v>139</v>
      </c>
      <c r="D42" s="130">
        <f>Inputs!B18</f>
        <v>11</v>
      </c>
      <c r="E42" s="59" t="s">
        <v>124</v>
      </c>
      <c r="F42" s="42">
        <f>D42*2*PI()/360</f>
        <v>0.19198621771937624</v>
      </c>
      <c r="G42" s="59" t="s">
        <v>272</v>
      </c>
      <c r="H42" s="55" t="s">
        <v>340</v>
      </c>
    </row>
    <row r="43" spans="1:14" ht="15" x14ac:dyDescent="0.25">
      <c r="B43" s="98"/>
      <c r="C43" s="98"/>
      <c r="D43" s="199"/>
      <c r="E43" s="59" t="s">
        <v>124</v>
      </c>
      <c r="F43" s="42">
        <f>D43*2*PI()/360</f>
        <v>0</v>
      </c>
      <c r="G43" s="59" t="s">
        <v>272</v>
      </c>
      <c r="H43" s="55" t="s">
        <v>341</v>
      </c>
    </row>
    <row r="44" spans="1:14" x14ac:dyDescent="0.2">
      <c r="B44" s="98"/>
      <c r="C44" s="98"/>
    </row>
    <row r="45" spans="1:14" ht="15" x14ac:dyDescent="0.25">
      <c r="B45" s="59" t="s">
        <v>166</v>
      </c>
      <c r="C45" s="227" t="s">
        <v>333</v>
      </c>
      <c r="D45" s="199">
        <v>4</v>
      </c>
      <c r="E45" s="59" t="s">
        <v>124</v>
      </c>
      <c r="F45" s="42">
        <f>D45*2*PI()/360</f>
        <v>6.9813170079773182E-2</v>
      </c>
      <c r="G45" s="59" t="s">
        <v>272</v>
      </c>
    </row>
    <row r="46" spans="1:14" ht="15" x14ac:dyDescent="0.25">
      <c r="C46" s="59" t="s">
        <v>334</v>
      </c>
      <c r="D46" s="199">
        <v>0.45</v>
      </c>
      <c r="E46" s="226" t="s">
        <v>335</v>
      </c>
    </row>
    <row r="48" spans="1:14" x14ac:dyDescent="0.2">
      <c r="B48" s="59" t="s">
        <v>167</v>
      </c>
      <c r="C48" s="59" t="s">
        <v>342</v>
      </c>
      <c r="D48" s="59" t="s">
        <v>26</v>
      </c>
      <c r="E48" s="59" t="s">
        <v>20</v>
      </c>
      <c r="F48" s="59" t="s">
        <v>30</v>
      </c>
      <c r="G48" s="59" t="s">
        <v>31</v>
      </c>
    </row>
    <row r="49" spans="4:23" ht="15" x14ac:dyDescent="0.25">
      <c r="D49" s="199">
        <v>20</v>
      </c>
      <c r="E49" s="199">
        <v>0</v>
      </c>
      <c r="F49" s="130">
        <f t="shared" ref="F49:F69" si="1">D49/$D$49</f>
        <v>1</v>
      </c>
      <c r="G49" s="130">
        <f t="shared" ref="G49:G69" si="2">E49/$E$71</f>
        <v>0</v>
      </c>
    </row>
    <row r="50" spans="4:23" ht="15" x14ac:dyDescent="0.25">
      <c r="D50" s="199">
        <v>19</v>
      </c>
      <c r="E50" s="199">
        <v>0.14006872095141659</v>
      </c>
      <c r="F50" s="130">
        <f t="shared" si="1"/>
        <v>0.95</v>
      </c>
      <c r="G50" s="130">
        <f t="shared" si="2"/>
        <v>0.14006872095141659</v>
      </c>
      <c r="W50" s="28">
        <v>0</v>
      </c>
    </row>
    <row r="51" spans="4:23" ht="15" x14ac:dyDescent="0.25">
      <c r="D51" s="199">
        <v>18</v>
      </c>
      <c r="E51" s="199">
        <v>0.27023603231833648</v>
      </c>
      <c r="F51" s="130">
        <f t="shared" si="1"/>
        <v>0.9</v>
      </c>
      <c r="G51" s="130">
        <f t="shared" si="2"/>
        <v>0.27023603231833648</v>
      </c>
      <c r="W51" s="28">
        <v>0.14006872095141659</v>
      </c>
    </row>
    <row r="52" spans="4:23" ht="15" x14ac:dyDescent="0.25">
      <c r="D52" s="199">
        <v>17</v>
      </c>
      <c r="E52" s="199">
        <v>0.44130544386870996</v>
      </c>
      <c r="F52" s="130">
        <f t="shared" si="1"/>
        <v>0.85</v>
      </c>
      <c r="G52" s="130">
        <f t="shared" si="2"/>
        <v>0.44130544386870996</v>
      </c>
      <c r="W52" s="28">
        <v>0.27023603231833648</v>
      </c>
    </row>
    <row r="53" spans="4:23" ht="15" x14ac:dyDescent="0.25">
      <c r="D53" s="199">
        <v>16</v>
      </c>
      <c r="E53" s="199">
        <v>0.5447936041215623</v>
      </c>
      <c r="F53" s="130">
        <f t="shared" si="1"/>
        <v>0.8</v>
      </c>
      <c r="G53" s="130">
        <f t="shared" si="2"/>
        <v>0.5447936041215623</v>
      </c>
      <c r="W53" s="28">
        <v>0.44130544386870996</v>
      </c>
    </row>
    <row r="54" spans="4:23" ht="15" x14ac:dyDescent="0.25">
      <c r="D54" s="199">
        <v>15</v>
      </c>
      <c r="E54" s="199">
        <v>0.65727649802776811</v>
      </c>
      <c r="F54" s="130">
        <f t="shared" si="1"/>
        <v>0.75</v>
      </c>
      <c r="G54" s="130">
        <f t="shared" si="2"/>
        <v>0.65727649802776811</v>
      </c>
      <c r="W54" s="28">
        <v>0.5447936041215623</v>
      </c>
    </row>
    <row r="55" spans="4:23" ht="15" x14ac:dyDescent="0.25">
      <c r="D55" s="199">
        <v>14</v>
      </c>
      <c r="E55" s="199">
        <v>0.75926482987115884</v>
      </c>
      <c r="F55" s="130">
        <f t="shared" si="1"/>
        <v>0.7</v>
      </c>
      <c r="G55" s="130">
        <f t="shared" si="2"/>
        <v>0.75926482987115884</v>
      </c>
      <c r="W55" s="28">
        <v>0.65727649802776811</v>
      </c>
    </row>
    <row r="56" spans="4:23" ht="15" x14ac:dyDescent="0.25">
      <c r="D56" s="199">
        <v>13</v>
      </c>
      <c r="E56" s="199">
        <v>0.84325522080101001</v>
      </c>
      <c r="F56" s="130">
        <f t="shared" si="1"/>
        <v>0.65</v>
      </c>
      <c r="G56" s="130">
        <f t="shared" si="2"/>
        <v>0.84325522080101001</v>
      </c>
      <c r="W56" s="28">
        <v>0.75926482987115884</v>
      </c>
    </row>
    <row r="57" spans="4:23" ht="15" x14ac:dyDescent="0.25">
      <c r="D57" s="199">
        <v>12</v>
      </c>
      <c r="E57" s="199">
        <v>0.89874463514767389</v>
      </c>
      <c r="F57" s="130">
        <f t="shared" si="1"/>
        <v>0.6</v>
      </c>
      <c r="G57" s="130">
        <f t="shared" si="2"/>
        <v>0.89874463514767389</v>
      </c>
      <c r="W57" s="28">
        <v>0.84325522080101001</v>
      </c>
    </row>
    <row r="58" spans="4:23" ht="15" x14ac:dyDescent="0.25">
      <c r="D58" s="199">
        <v>11</v>
      </c>
      <c r="E58" s="199">
        <v>0.95273845788829259</v>
      </c>
      <c r="F58" s="130">
        <f t="shared" si="1"/>
        <v>0.55000000000000004</v>
      </c>
      <c r="G58" s="130">
        <f t="shared" si="2"/>
        <v>0.95273845788829259</v>
      </c>
      <c r="W58" s="28">
        <v>0.89874463514767389</v>
      </c>
    </row>
    <row r="59" spans="4:23" ht="15" x14ac:dyDescent="0.25">
      <c r="D59" s="199">
        <v>10</v>
      </c>
      <c r="E59" s="199">
        <v>0.99623348176267978</v>
      </c>
      <c r="F59" s="130">
        <f t="shared" si="1"/>
        <v>0.5</v>
      </c>
      <c r="G59" s="130">
        <f t="shared" si="2"/>
        <v>0.99623348176267978</v>
      </c>
      <c r="W59" s="28">
        <v>0.95273845788829259</v>
      </c>
    </row>
    <row r="60" spans="4:23" ht="15" x14ac:dyDescent="0.25">
      <c r="D60" s="199">
        <v>9</v>
      </c>
      <c r="E60" s="199">
        <v>1</v>
      </c>
      <c r="F60" s="130">
        <f t="shared" si="1"/>
        <v>0.45</v>
      </c>
      <c r="G60" s="130">
        <f t="shared" si="2"/>
        <v>1</v>
      </c>
      <c r="W60" s="28">
        <v>0.99623348176267978</v>
      </c>
    </row>
    <row r="61" spans="4:23" ht="15" x14ac:dyDescent="0.25">
      <c r="D61" s="199">
        <v>8</v>
      </c>
      <c r="E61" s="199">
        <v>1</v>
      </c>
      <c r="F61" s="130">
        <f t="shared" si="1"/>
        <v>0.4</v>
      </c>
      <c r="G61" s="130">
        <f t="shared" si="2"/>
        <v>1</v>
      </c>
      <c r="W61" s="28">
        <v>1</v>
      </c>
    </row>
    <row r="62" spans="4:23" ht="15" x14ac:dyDescent="0.25">
      <c r="D62" s="199">
        <v>7</v>
      </c>
      <c r="E62" s="199">
        <v>1</v>
      </c>
      <c r="F62" s="130">
        <f t="shared" si="1"/>
        <v>0.35</v>
      </c>
      <c r="G62" s="130">
        <f t="shared" si="2"/>
        <v>1</v>
      </c>
      <c r="W62" s="28">
        <v>1</v>
      </c>
    </row>
    <row r="63" spans="4:23" ht="15" x14ac:dyDescent="0.25">
      <c r="D63" s="199">
        <v>6</v>
      </c>
      <c r="E63" s="199">
        <v>0.96250428976345936</v>
      </c>
      <c r="F63" s="130">
        <f t="shared" si="1"/>
        <v>0.3</v>
      </c>
      <c r="G63" s="130">
        <f t="shared" si="2"/>
        <v>0.96250428976345936</v>
      </c>
      <c r="W63" s="28">
        <v>1</v>
      </c>
    </row>
    <row r="64" spans="4:23" ht="15" x14ac:dyDescent="0.25">
      <c r="D64" s="199">
        <v>5</v>
      </c>
      <c r="E64" s="199">
        <v>0.92950806475530345</v>
      </c>
      <c r="F64" s="130">
        <f t="shared" si="1"/>
        <v>0.25</v>
      </c>
      <c r="G64" s="130">
        <f t="shared" si="2"/>
        <v>0.92950806475530345</v>
      </c>
      <c r="W64" s="28">
        <v>0.96250428976345936</v>
      </c>
    </row>
    <row r="65" spans="2:23" ht="15" x14ac:dyDescent="0.25">
      <c r="D65" s="199">
        <v>4</v>
      </c>
      <c r="E65" s="199">
        <v>0.88751286929037787</v>
      </c>
      <c r="F65" s="130">
        <f t="shared" si="1"/>
        <v>0.2</v>
      </c>
      <c r="G65" s="130">
        <f t="shared" si="2"/>
        <v>0.88751286929037787</v>
      </c>
      <c r="W65" s="28">
        <v>0.92950806475530345</v>
      </c>
    </row>
    <row r="66" spans="2:23" ht="15" x14ac:dyDescent="0.25">
      <c r="D66" s="199">
        <v>3</v>
      </c>
      <c r="E66" s="199">
        <v>0.82602414130586765</v>
      </c>
      <c r="F66" s="130">
        <f t="shared" si="1"/>
        <v>0.15</v>
      </c>
      <c r="G66" s="130">
        <f t="shared" si="2"/>
        <v>0.82602414130586765</v>
      </c>
      <c r="W66" s="28">
        <v>0.88751286929037787</v>
      </c>
    </row>
    <row r="67" spans="2:23" ht="15" x14ac:dyDescent="0.25">
      <c r="D67" s="199">
        <v>2</v>
      </c>
      <c r="E67" s="199">
        <v>0.77053049015578723</v>
      </c>
      <c r="F67" s="130">
        <f t="shared" si="1"/>
        <v>0.1</v>
      </c>
      <c r="G67" s="130">
        <f t="shared" si="2"/>
        <v>0.77053049015578723</v>
      </c>
      <c r="W67" s="28">
        <v>0.82602414130586765</v>
      </c>
    </row>
    <row r="68" spans="2:23" ht="15" x14ac:dyDescent="0.25">
      <c r="D68" s="199">
        <v>1</v>
      </c>
      <c r="E68" s="199">
        <v>0.69253941286378262</v>
      </c>
      <c r="F68" s="130">
        <f t="shared" si="1"/>
        <v>0.05</v>
      </c>
      <c r="G68" s="130">
        <f t="shared" si="2"/>
        <v>0.69253941286378262</v>
      </c>
      <c r="W68" s="28">
        <v>0.77053049015578723</v>
      </c>
    </row>
    <row r="69" spans="2:23" ht="15" x14ac:dyDescent="0.25">
      <c r="D69" s="199">
        <v>0</v>
      </c>
      <c r="E69" s="199">
        <v>0.61755222919411767</v>
      </c>
      <c r="F69" s="130">
        <f t="shared" si="1"/>
        <v>0</v>
      </c>
      <c r="G69" s="130">
        <f t="shared" si="2"/>
        <v>0.61755222919411767</v>
      </c>
      <c r="W69" s="28">
        <v>0.69253941286378262</v>
      </c>
    </row>
    <row r="70" spans="2:23" x14ac:dyDescent="0.2">
      <c r="W70" s="28">
        <v>0.61755222919411767</v>
      </c>
    </row>
    <row r="71" spans="2:23" ht="15" x14ac:dyDescent="0.25">
      <c r="D71" s="130">
        <f>MAX(D49:D66)</f>
        <v>20</v>
      </c>
      <c r="E71" s="130">
        <f>MAX(E49:E66)</f>
        <v>1</v>
      </c>
      <c r="F71" s="55" t="s">
        <v>343</v>
      </c>
    </row>
    <row r="73" spans="2:23" ht="15" x14ac:dyDescent="0.25">
      <c r="B73" s="55" t="s">
        <v>344</v>
      </c>
      <c r="D73" s="208">
        <v>3</v>
      </c>
    </row>
  </sheetData>
  <sortState ref="D50:D65">
    <sortCondition descending="1" ref="D1:D16"/>
  </sortState>
  <phoneticPr fontId="1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A80"/>
  <sheetViews>
    <sheetView topLeftCell="A3" zoomScale="70" zoomScaleNormal="70" workbookViewId="0">
      <selection activeCell="D10" sqref="D10"/>
    </sheetView>
  </sheetViews>
  <sheetFormatPr defaultRowHeight="12.75" x14ac:dyDescent="0.2"/>
  <cols>
    <col min="1" max="1" width="5.42578125" style="28" bestFit="1" customWidth="1"/>
    <col min="2" max="2" width="12.5703125" style="28" bestFit="1" customWidth="1"/>
    <col min="3" max="3" width="15.5703125" style="28" bestFit="1" customWidth="1"/>
    <col min="4" max="4" width="12.28515625" style="28" bestFit="1" customWidth="1"/>
    <col min="5" max="5" width="9.85546875" style="28" bestFit="1" customWidth="1"/>
    <col min="6" max="6" width="12.28515625" style="28" bestFit="1" customWidth="1"/>
    <col min="7" max="9" width="9.140625" style="28"/>
    <col min="10" max="10" width="9.5703125" style="28" bestFit="1" customWidth="1"/>
    <col min="11" max="12" width="9.140625" style="28"/>
    <col min="13" max="13" width="10.28515625" style="28" bestFit="1" customWidth="1"/>
    <col min="14" max="16384" width="9.140625" style="28"/>
  </cols>
  <sheetData>
    <row r="1" spans="22:27" x14ac:dyDescent="0.2">
      <c r="X1" s="28" t="str">
        <f>'Cxx Selected'!C50</f>
        <v>Opt1</v>
      </c>
      <c r="Y1" s="28" t="str">
        <f>'Cxx Selected'!D50</f>
        <v>Opt2</v>
      </c>
      <c r="Z1" s="28" t="str">
        <f>'Cxx Selected'!E50</f>
        <v>Opt3</v>
      </c>
      <c r="AA1" s="28" t="str">
        <f>'Cxx Selected'!F50</f>
        <v>Opt4'</v>
      </c>
    </row>
    <row r="2" spans="22:27" ht="15" x14ac:dyDescent="0.25">
      <c r="V2" s="275">
        <f>'Cxx Selected'!A52</f>
        <v>0</v>
      </c>
      <c r="W2" s="190">
        <f>'Cxx Selected'!B52</f>
        <v>0</v>
      </c>
      <c r="X2" s="196">
        <f>'Cxx Selected'!C52</f>
        <v>0.6</v>
      </c>
      <c r="Y2" s="196">
        <f>'Cxx Selected'!D52</f>
        <v>0.6</v>
      </c>
      <c r="Z2" s="196">
        <f>'Cxx Selected'!E52</f>
        <v>0.60814500000000005</v>
      </c>
      <c r="AA2" s="196">
        <f>'Cxx Selected'!F52</f>
        <v>0.54983684772420549</v>
      </c>
    </row>
    <row r="3" spans="22:27" ht="15" x14ac:dyDescent="0.25">
      <c r="V3" s="275">
        <f>'Cxx Selected'!A53</f>
        <v>1</v>
      </c>
      <c r="W3" s="190">
        <f>'Cxx Selected'!B53</f>
        <v>0.05</v>
      </c>
      <c r="X3" s="196">
        <f>'Cxx Selected'!C53</f>
        <v>0.71393558022071069</v>
      </c>
      <c r="Y3" s="196">
        <f>'Cxx Selected'!D53</f>
        <v>0.73913608975601319</v>
      </c>
      <c r="Z3" s="196">
        <f>'Cxx Selected'!E53</f>
        <v>0.68976171921482166</v>
      </c>
      <c r="AA3" s="196">
        <f>'Cxx Selected'!F53</f>
        <v>0.64912987330653871</v>
      </c>
    </row>
    <row r="4" spans="22:27" ht="15" x14ac:dyDescent="0.25">
      <c r="V4" s="275">
        <f>'Cxx Selected'!A54</f>
        <v>2</v>
      </c>
      <c r="W4" s="190">
        <f>'Cxx Selected'!B54</f>
        <v>0.1</v>
      </c>
      <c r="X4" s="196">
        <f>'Cxx Selected'!C54</f>
        <v>0.79142098237550451</v>
      </c>
      <c r="Y4" s="196">
        <f>'Cxx Selected'!D54</f>
        <v>0.81233337051471288</v>
      </c>
      <c r="Z4" s="196">
        <f>'Cxx Selected'!E54</f>
        <v>0.7684925722926359</v>
      </c>
      <c r="AA4" s="196">
        <f>'Cxx Selected'!F54</f>
        <v>0.71931592806741895</v>
      </c>
    </row>
    <row r="5" spans="22:27" ht="15" x14ac:dyDescent="0.25">
      <c r="V5" s="275">
        <f>'Cxx Selected'!A55</f>
        <v>3</v>
      </c>
      <c r="W5" s="190">
        <f>'Cxx Selected'!B55</f>
        <v>0.15</v>
      </c>
      <c r="X5" s="196">
        <f>'Cxx Selected'!C55</f>
        <v>0.84501195917185856</v>
      </c>
      <c r="Y5" s="196">
        <f>'Cxx Selected'!D55</f>
        <v>0.85160209176221446</v>
      </c>
      <c r="Z5" s="196">
        <f>'Cxx Selected'!E55</f>
        <v>0.8386870734197055</v>
      </c>
      <c r="AA5" s="196">
        <f>'Cxx Selected'!F55</f>
        <v>0.80039418356022085</v>
      </c>
    </row>
    <row r="6" spans="22:27" ht="15" x14ac:dyDescent="0.25">
      <c r="V6" s="275">
        <f>'Cxx Selected'!A56</f>
        <v>4</v>
      </c>
      <c r="W6" s="190">
        <f>'Cxx Selected'!B56</f>
        <v>0.2</v>
      </c>
      <c r="X6" s="196">
        <f>'Cxx Selected'!C56</f>
        <v>0.88392015722590567</v>
      </c>
      <c r="Y6" s="196">
        <f>'Cxx Selected'!D56</f>
        <v>0.87713776107251595</v>
      </c>
      <c r="Z6" s="196">
        <f>'Cxx Selected'!E56</f>
        <v>0.89725938056030208</v>
      </c>
      <c r="AA6" s="196">
        <f>'Cxx Selected'!F56</f>
        <v>0.86802596484750283</v>
      </c>
    </row>
    <row r="7" spans="22:27" ht="15" x14ac:dyDescent="0.25">
      <c r="V7" s="275">
        <f>'Cxx Selected'!A57</f>
        <v>5</v>
      </c>
      <c r="W7" s="190">
        <f>'Cxx Selected'!B57</f>
        <v>0.25</v>
      </c>
      <c r="X7" s="196">
        <f>'Cxx Selected'!C57</f>
        <v>0.91439595105070526</v>
      </c>
      <c r="Y7" s="196">
        <f>'Cxx Selected'!D57</f>
        <v>0.90002217990597089</v>
      </c>
      <c r="Z7" s="196">
        <f>'Cxx Selected'!E57</f>
        <v>0.94299851733482409</v>
      </c>
      <c r="AA7" s="196">
        <f>'Cxx Selected'!F57</f>
        <v>0.9149211941611235</v>
      </c>
    </row>
    <row r="8" spans="22:27" ht="15" x14ac:dyDescent="0.25">
      <c r="V8" s="275">
        <f>'Cxx Selected'!A58</f>
        <v>6</v>
      </c>
      <c r="W8" s="190">
        <f>'Cxx Selected'!B58</f>
        <v>0.3</v>
      </c>
      <c r="X8" s="196">
        <f>'Cxx Selected'!C58</f>
        <v>0.94011127704451303</v>
      </c>
      <c r="Y8" s="196">
        <f>'Cxx Selected'!D58</f>
        <v>0.92461538583307035</v>
      </c>
      <c r="Z8" s="196">
        <f>'Cxx Selected'!E58</f>
        <v>0.97595666906991263</v>
      </c>
      <c r="AA8" s="196">
        <f>'Cxx Selected'!F58</f>
        <v>0.95485952688520637</v>
      </c>
    </row>
    <row r="9" spans="22:27" ht="15" x14ac:dyDescent="0.25">
      <c r="V9" s="275">
        <f>'Cxx Selected'!A59</f>
        <v>7</v>
      </c>
      <c r="W9" s="190">
        <f>'Cxx Selected'!B59</f>
        <v>0.35</v>
      </c>
      <c r="X9" s="196">
        <f>'Cxx Selected'!C59</f>
        <v>0.96254246747905214</v>
      </c>
      <c r="Y9" s="196">
        <f>'Cxx Selected'!D59</f>
        <v>0.95063850118352555</v>
      </c>
      <c r="Z9" s="196">
        <f>'Cxx Selected'!E59</f>
        <v>0.99691555302056334</v>
      </c>
      <c r="AA9" s="196">
        <f>'Cxx Selected'!F59</f>
        <v>0.98541228732875796</v>
      </c>
    </row>
    <row r="10" spans="22:27" ht="15" x14ac:dyDescent="0.25">
      <c r="V10" s="275">
        <f>'Cxx Selected'!A60</f>
        <v>8</v>
      </c>
      <c r="W10" s="190">
        <f>'Cxx Selected'!B60</f>
        <v>0.4</v>
      </c>
      <c r="X10" s="196">
        <f>'Cxx Selected'!C60</f>
        <v>0.98135308448778558</v>
      </c>
      <c r="Y10" s="196">
        <f>'Cxx Selected'!D60</f>
        <v>0.97494748812066412</v>
      </c>
      <c r="Z10" s="196">
        <f>'Cxx Selected'!E60</f>
        <v>1.0069308627642357</v>
      </c>
      <c r="AA10" s="196">
        <f>'Cxx Selected'!F60</f>
        <v>0.99037343336497308</v>
      </c>
    </row>
    <row r="11" spans="22:27" ht="15" x14ac:dyDescent="0.25">
      <c r="V11" s="275">
        <f>'Cxx Selected'!A61</f>
        <v>9</v>
      </c>
      <c r="W11" s="190">
        <f>'Cxx Selected'!B61</f>
        <v>0.45</v>
      </c>
      <c r="X11" s="196">
        <f>'Cxx Selected'!C61</f>
        <v>0.99477675405418442</v>
      </c>
      <c r="Y11" s="196">
        <f>'Cxx Selected'!D61</f>
        <v>0.99299781014112853</v>
      </c>
      <c r="Z11" s="196">
        <f>'Cxx Selected'!E61</f>
        <v>1.0069547867669562</v>
      </c>
      <c r="AA11" s="196">
        <f>'Cxx Selected'!F61</f>
        <v>0.99505528258707721</v>
      </c>
    </row>
    <row r="12" spans="22:27" ht="15" x14ac:dyDescent="0.25">
      <c r="V12" s="275">
        <f>'Cxx Selected'!A62</f>
        <v>10</v>
      </c>
      <c r="W12" s="190">
        <f>'Cxx Selected'!B62</f>
        <v>0.5</v>
      </c>
      <c r="X12" s="196">
        <f>'Cxx Selected'!C62</f>
        <v>1.0000000000000009</v>
      </c>
      <c r="Y12" s="196">
        <f>'Cxx Selected'!D62</f>
        <v>0.9999999999998761</v>
      </c>
      <c r="Z12" s="196">
        <f>'Cxx Selected'!E62</f>
        <v>0.99753660112142484</v>
      </c>
      <c r="AA12" s="196">
        <f>'Cxx Selected'!F62</f>
        <v>1</v>
      </c>
    </row>
    <row r="13" spans="22:27" ht="15" x14ac:dyDescent="0.25">
      <c r="V13" s="275">
        <f>'Cxx Selected'!A63</f>
        <v>11</v>
      </c>
      <c r="W13" s="190">
        <f>'Cxx Selected'!B63</f>
        <v>0.55000000000000004</v>
      </c>
      <c r="X13" s="196">
        <f>'Cxx Selected'!C63</f>
        <v>0.99354507797353764</v>
      </c>
      <c r="Y13" s="196">
        <f>'Cxx Selected'!D63</f>
        <v>0.99176613406050029</v>
      </c>
      <c r="Z13" s="196">
        <f>'Cxx Selected'!E63</f>
        <v>0.97860133645710967</v>
      </c>
      <c r="AA13" s="196">
        <f>'Cxx Selected'!F63</f>
        <v>0.97652316833620778</v>
      </c>
    </row>
    <row r="14" spans="22:27" ht="15" x14ac:dyDescent="0.25">
      <c r="V14" s="275">
        <f>'Cxx Selected'!A64</f>
        <v>12</v>
      </c>
      <c r="W14" s="190">
        <f>'Cxx Selected'!B64</f>
        <v>0.6</v>
      </c>
      <c r="X14" s="196">
        <f>'Cxx Selected'!C64</f>
        <v>0.97165280943791832</v>
      </c>
      <c r="Y14" s="196">
        <f>'Cxx Selected'!D64</f>
        <v>0.96524721307083428</v>
      </c>
      <c r="Z14" s="196">
        <f>'Cxx Selected'!E64</f>
        <v>0.94930651902234553</v>
      </c>
      <c r="AA14" s="196">
        <f>'Cxx Selected'!F64</f>
        <v>0.94701098497429048</v>
      </c>
    </row>
    <row r="15" spans="22:27" ht="15" x14ac:dyDescent="0.25">
      <c r="V15" s="275">
        <f>'Cxx Selected'!A65</f>
        <v>13</v>
      </c>
      <c r="W15" s="190">
        <f>'Cxx Selected'!B65</f>
        <v>0.65</v>
      </c>
      <c r="X15" s="196">
        <f>'Cxx Selected'!C65</f>
        <v>0.93066541565936056</v>
      </c>
      <c r="Y15" s="196">
        <f>'Cxx Selected'!D65</f>
        <v>0.91876144936388959</v>
      </c>
      <c r="Z15" s="196">
        <f>'Cxx Selected'!E65</f>
        <v>0.90797698593842491</v>
      </c>
      <c r="AA15" s="196">
        <f>'Cxx Selected'!F65</f>
        <v>0.90938260011366978</v>
      </c>
    </row>
    <row r="16" spans="22:27" ht="15" x14ac:dyDescent="0.25">
      <c r="V16" s="275">
        <f>'Cxx Selected'!A66</f>
        <v>14</v>
      </c>
      <c r="W16" s="190">
        <f>'Cxx Selected'!B66</f>
        <v>0.7</v>
      </c>
      <c r="X16" s="196">
        <f>'Cxx Selected'!C66</f>
        <v>0.86740935169544597</v>
      </c>
      <c r="Y16" s="196">
        <f>'Cxx Selected'!D66</f>
        <v>0.85191346048407679</v>
      </c>
      <c r="Z16" s="196">
        <f>'Cxx Selected'!E66</f>
        <v>0.85211777462568716</v>
      </c>
      <c r="AA16" s="196">
        <f>'Cxx Selected'!F66</f>
        <v>0.84743395972168767</v>
      </c>
    </row>
    <row r="17" spans="22:27" ht="15" x14ac:dyDescent="0.25">
      <c r="V17" s="275">
        <f>'Cxx Selected'!A67</f>
        <v>15</v>
      </c>
      <c r="W17" s="190">
        <f>'Cxx Selected'!B67</f>
        <v>0.75</v>
      </c>
      <c r="X17" s="196">
        <f>'Cxx Selected'!C67</f>
        <v>0.77957814038338613</v>
      </c>
      <c r="Y17" s="196">
        <f>'Cxx Selected'!D67</f>
        <v>0.76520436923874602</v>
      </c>
      <c r="Z17" s="196">
        <f>'Cxx Selected'!E67</f>
        <v>0.77850508640160254</v>
      </c>
      <c r="AA17" s="196">
        <f>'Cxx Selected'!F67</f>
        <v>0.77505465575891785</v>
      </c>
    </row>
    <row r="18" spans="22:27" ht="15" x14ac:dyDescent="0.25">
      <c r="V18" s="275">
        <f>'Cxx Selected'!A68</f>
        <v>16</v>
      </c>
      <c r="W18" s="190">
        <f>'Cxx Selected'!B68</f>
        <v>0.8</v>
      </c>
      <c r="X18" s="196">
        <f>'Cxx Selected'!C68</f>
        <v>0.66611520632830468</v>
      </c>
      <c r="Y18" s="196">
        <f>'Cxx Selected'!D68</f>
        <v>0.65933281017503642</v>
      </c>
      <c r="Z18" s="196">
        <f>'Cxx Selected'!E68</f>
        <v>0.68335532425086365</v>
      </c>
      <c r="AA18" s="196">
        <f>'Cxx Selected'!F68</f>
        <v>0.67026423664267076</v>
      </c>
    </row>
    <row r="19" spans="22:27" ht="15" x14ac:dyDescent="0.25">
      <c r="V19" s="275">
        <f>'Cxx Selected'!A69</f>
        <v>17</v>
      </c>
      <c r="W19" s="190">
        <f>'Cxx Selected'!B69</f>
        <v>0.85</v>
      </c>
      <c r="X19" s="196">
        <f>'Cxx Selected'!C69</f>
        <v>0.52759670989149932</v>
      </c>
      <c r="Y19" s="196">
        <f>'Cxx Selected'!D69</f>
        <v>0.53418684248199</v>
      </c>
      <c r="Z19" s="196">
        <f>'Cxx Selected'!E69</f>
        <v>0.56257220476744862</v>
      </c>
      <c r="AA19" s="196">
        <f>'Cxx Selected'!F69</f>
        <v>0.56491266525654549</v>
      </c>
    </row>
    <row r="20" spans="22:27" ht="15" x14ac:dyDescent="0.25">
      <c r="V20" s="275">
        <f>'Cxx Selected'!A70</f>
        <v>18</v>
      </c>
      <c r="W20" s="190">
        <f>'Cxx Selected'!B70</f>
        <v>0.9</v>
      </c>
      <c r="X20" s="196">
        <f>'Cxx Selected'!C70</f>
        <v>0.36661438117870127</v>
      </c>
      <c r="Y20" s="196">
        <f>'Cxx Selected'!D70</f>
        <v>0.38752676931809305</v>
      </c>
      <c r="Z20" s="196">
        <f>'Cxx Selected'!E70</f>
        <v>0.41207194426871263</v>
      </c>
      <c r="AA20" s="196">
        <f>'Cxx Selected'!F70</f>
        <v>0.4278573881952214</v>
      </c>
    </row>
    <row r="21" spans="22:27" ht="15" x14ac:dyDescent="0.25">
      <c r="V21" s="275">
        <f>'Cxx Selected'!A71</f>
        <v>19</v>
      </c>
      <c r="W21" s="190">
        <f>'Cxx Selected'!B71</f>
        <v>0.95</v>
      </c>
      <c r="X21" s="196">
        <f>'Cxx Selected'!C71</f>
        <v>0.18815835402838221</v>
      </c>
      <c r="Y21" s="196">
        <f>'Cxx Selected'!D71</f>
        <v>0.21335886356386879</v>
      </c>
      <c r="Z21" s="196">
        <f>'Cxx Selected'!E71</f>
        <v>0.22818651908145426</v>
      </c>
      <c r="AA21" s="196">
        <f>'Cxx Selected'!F71</f>
        <v>0.29653314100730277</v>
      </c>
    </row>
    <row r="22" spans="22:27" ht="15" x14ac:dyDescent="0.25">
      <c r="V22" s="275">
        <f>'Cxx Selected'!A72</f>
        <v>20</v>
      </c>
      <c r="W22" s="190">
        <f>'Cxx Selected'!B72</f>
        <v>1</v>
      </c>
      <c r="X22" s="196">
        <f>'Cxx Selected'!C72</f>
        <v>-1.4210854715202004E-14</v>
      </c>
      <c r="Y22" s="196">
        <f>'Cxx Selected'!D72</f>
        <v>1.9895196601282805E-13</v>
      </c>
      <c r="Z22" s="196">
        <f>'Cxx Selected'!E72</f>
        <v>8.1449999999776423E-3</v>
      </c>
      <c r="AA22" s="196">
        <f>'Cxx Selected'!F72</f>
        <v>0</v>
      </c>
    </row>
    <row r="37" spans="2:21" ht="15" x14ac:dyDescent="0.25">
      <c r="B37" s="59" t="s">
        <v>354</v>
      </c>
      <c r="C37" s="55" t="s">
        <v>319</v>
      </c>
      <c r="D37" s="196">
        <v>0</v>
      </c>
      <c r="E37" s="226" t="s">
        <v>352</v>
      </c>
    </row>
    <row r="38" spans="2:21" x14ac:dyDescent="0.2">
      <c r="E38" s="229"/>
    </row>
    <row r="39" spans="2:21" ht="15" x14ac:dyDescent="0.25">
      <c r="D39" s="203">
        <v>0</v>
      </c>
      <c r="E39" s="226" t="s">
        <v>353</v>
      </c>
      <c r="U39" s="55"/>
    </row>
    <row r="40" spans="2:21" x14ac:dyDescent="0.2">
      <c r="U40" s="55"/>
    </row>
    <row r="41" spans="2:21" x14ac:dyDescent="0.2">
      <c r="D41" s="98" t="s">
        <v>101</v>
      </c>
      <c r="F41" s="59" t="s">
        <v>141</v>
      </c>
      <c r="H41" s="55" t="s">
        <v>366</v>
      </c>
      <c r="J41" s="59" t="s">
        <v>90</v>
      </c>
      <c r="L41" s="59" t="s">
        <v>96</v>
      </c>
      <c r="N41" s="59" t="s">
        <v>95</v>
      </c>
      <c r="P41" s="59" t="s">
        <v>139</v>
      </c>
    </row>
    <row r="42" spans="2:21" ht="15" x14ac:dyDescent="0.25">
      <c r="B42" s="59" t="s">
        <v>338</v>
      </c>
      <c r="C42" s="59" t="s">
        <v>350</v>
      </c>
      <c r="D42" s="204">
        <f>Inputs!B3</f>
        <v>126.49353816142404</v>
      </c>
      <c r="F42" s="204">
        <f>Inputs!B4/2</f>
        <v>7.0993863285377552</v>
      </c>
      <c r="H42" s="190">
        <f>F42+'Profile Calcs'!$J$55*TAN(D39*PI()/180)</f>
        <v>7.0993863285377552</v>
      </c>
      <c r="J42" s="196">
        <f>Inputs!B17</f>
        <v>0.60814500000000005</v>
      </c>
      <c r="L42" s="196">
        <f>Cwl!D40</f>
        <v>6.5301</v>
      </c>
      <c r="N42" s="196">
        <f>Cwl!J37</f>
        <v>0.74170000000000003</v>
      </c>
    </row>
    <row r="44" spans="2:21" ht="15" x14ac:dyDescent="0.25">
      <c r="B44" s="59" t="s">
        <v>164</v>
      </c>
      <c r="C44" s="59" t="s">
        <v>351</v>
      </c>
      <c r="J44" s="203">
        <v>0.6</v>
      </c>
      <c r="L44" s="203">
        <v>5</v>
      </c>
      <c r="N44" s="203">
        <v>0.78230189917656678</v>
      </c>
      <c r="P44" s="196">
        <f>-'CWD Opt1 Calcs'!D48</f>
        <v>11.394451834627258</v>
      </c>
      <c r="Q44" s="55" t="s">
        <v>355</v>
      </c>
    </row>
    <row r="46" spans="2:21" ht="15" x14ac:dyDescent="0.25">
      <c r="B46" s="59" t="s">
        <v>165</v>
      </c>
      <c r="C46" s="59" t="s">
        <v>351</v>
      </c>
      <c r="P46" s="203">
        <v>15</v>
      </c>
      <c r="Q46" s="55" t="s">
        <v>356</v>
      </c>
    </row>
    <row r="48" spans="2:21" ht="15" x14ac:dyDescent="0.25">
      <c r="B48" s="59" t="s">
        <v>166</v>
      </c>
      <c r="C48" s="227" t="s">
        <v>333</v>
      </c>
      <c r="D48" s="199">
        <v>5</v>
      </c>
      <c r="E48" s="59" t="s">
        <v>124</v>
      </c>
      <c r="F48" s="42">
        <f>D48*2*PI()/360</f>
        <v>8.7266462599716474E-2</v>
      </c>
      <c r="G48" s="59" t="s">
        <v>272</v>
      </c>
    </row>
    <row r="49" spans="2:7" ht="15" x14ac:dyDescent="0.25">
      <c r="C49" s="59" t="s">
        <v>334</v>
      </c>
      <c r="D49" s="199">
        <v>0.42499999999999999</v>
      </c>
      <c r="E49" s="226" t="s">
        <v>335</v>
      </c>
    </row>
    <row r="51" spans="2:7" x14ac:dyDescent="0.2">
      <c r="B51" s="59" t="s">
        <v>167</v>
      </c>
      <c r="C51" s="59" t="s">
        <v>342</v>
      </c>
      <c r="D51" s="59" t="s">
        <v>26</v>
      </c>
      <c r="E51" s="59" t="s">
        <v>20</v>
      </c>
      <c r="F51" s="59" t="s">
        <v>30</v>
      </c>
      <c r="G51" s="59" t="s">
        <v>31</v>
      </c>
    </row>
    <row r="52" spans="2:7" ht="15" x14ac:dyDescent="0.25">
      <c r="D52" s="199">
        <v>1</v>
      </c>
      <c r="E52" s="199">
        <v>0</v>
      </c>
      <c r="F52" s="130">
        <f t="shared" ref="F52:F72" si="0">D52/$D$74</f>
        <v>1</v>
      </c>
      <c r="G52" s="130">
        <f t="shared" ref="G52:G72" si="1">E52/$E$74</f>
        <v>0</v>
      </c>
    </row>
    <row r="53" spans="2:7" ht="15" x14ac:dyDescent="0.25">
      <c r="D53" s="199">
        <v>0.95</v>
      </c>
      <c r="E53" s="199">
        <v>0.29696790615320018</v>
      </c>
      <c r="F53" s="130">
        <f t="shared" si="0"/>
        <v>0.95</v>
      </c>
      <c r="G53" s="130">
        <f t="shared" si="1"/>
        <v>0.29653314100730277</v>
      </c>
    </row>
    <row r="54" spans="2:7" ht="15" x14ac:dyDescent="0.25">
      <c r="D54" s="199">
        <v>0.9</v>
      </c>
      <c r="E54" s="199">
        <v>0.42848469575069426</v>
      </c>
      <c r="F54" s="130">
        <f t="shared" si="0"/>
        <v>0.9</v>
      </c>
      <c r="G54" s="130">
        <f t="shared" si="1"/>
        <v>0.4278573881952214</v>
      </c>
    </row>
    <row r="55" spans="2:7" ht="15" x14ac:dyDescent="0.25">
      <c r="D55" s="199">
        <v>0.85</v>
      </c>
      <c r="E55" s="199">
        <v>0.56574091783059255</v>
      </c>
      <c r="F55" s="130">
        <f t="shared" si="0"/>
        <v>0.85</v>
      </c>
      <c r="G55" s="130">
        <f t="shared" si="1"/>
        <v>0.56491266525654549</v>
      </c>
    </row>
    <row r="56" spans="2:7" ht="15" x14ac:dyDescent="0.25">
      <c r="D56" s="199">
        <v>0.8</v>
      </c>
      <c r="E56" s="199">
        <v>0.67124695151779024</v>
      </c>
      <c r="F56" s="130">
        <f t="shared" si="0"/>
        <v>0.8</v>
      </c>
      <c r="G56" s="130">
        <f t="shared" si="1"/>
        <v>0.67026423664267076</v>
      </c>
    </row>
    <row r="57" spans="2:7" ht="15" x14ac:dyDescent="0.25">
      <c r="D57" s="199">
        <v>0.75</v>
      </c>
      <c r="E57" s="199">
        <v>0.77619101019587844</v>
      </c>
      <c r="F57" s="130">
        <f t="shared" si="0"/>
        <v>0.75</v>
      </c>
      <c r="G57" s="130">
        <f t="shared" si="1"/>
        <v>0.77505465575891785</v>
      </c>
    </row>
    <row r="58" spans="2:7" ht="15" x14ac:dyDescent="0.25">
      <c r="D58" s="199">
        <v>0.7</v>
      </c>
      <c r="E58" s="199">
        <v>0.84867643382723046</v>
      </c>
      <c r="F58" s="130">
        <f t="shared" si="0"/>
        <v>0.7</v>
      </c>
      <c r="G58" s="130">
        <f t="shared" si="1"/>
        <v>0.84743395972168767</v>
      </c>
    </row>
    <row r="59" spans="2:7" ht="15" x14ac:dyDescent="0.25">
      <c r="D59" s="199">
        <v>0.65</v>
      </c>
      <c r="E59" s="199">
        <v>0.9107159008620177</v>
      </c>
      <c r="F59" s="130">
        <f t="shared" si="0"/>
        <v>0.65</v>
      </c>
      <c r="G59" s="130">
        <f t="shared" si="1"/>
        <v>0.90938260011366978</v>
      </c>
    </row>
    <row r="60" spans="2:7" ht="15" x14ac:dyDescent="0.25">
      <c r="D60" s="199">
        <v>0.60000000000000009</v>
      </c>
      <c r="E60" s="199">
        <v>0.94839945497008982</v>
      </c>
      <c r="F60" s="130">
        <f t="shared" si="0"/>
        <v>0.60000000000000009</v>
      </c>
      <c r="G60" s="130">
        <f t="shared" si="1"/>
        <v>0.94701098497429037</v>
      </c>
    </row>
    <row r="61" spans="2:7" ht="15" x14ac:dyDescent="0.25">
      <c r="D61" s="199">
        <v>0.55000000000000004</v>
      </c>
      <c r="E61" s="199">
        <v>0.9779549079262978</v>
      </c>
      <c r="F61" s="130">
        <f t="shared" si="0"/>
        <v>0.55000000000000004</v>
      </c>
      <c r="G61" s="130">
        <f t="shared" si="1"/>
        <v>0.97652316833620778</v>
      </c>
    </row>
    <row r="62" spans="2:7" ht="15" x14ac:dyDescent="0.25">
      <c r="D62" s="199">
        <v>0.5</v>
      </c>
      <c r="E62" s="199">
        <v>1.0014661603907764</v>
      </c>
      <c r="F62" s="130">
        <f t="shared" si="0"/>
        <v>0.5</v>
      </c>
      <c r="G62" s="130">
        <f t="shared" si="1"/>
        <v>1</v>
      </c>
    </row>
    <row r="63" spans="2:7" ht="15" x14ac:dyDescent="0.25">
      <c r="D63" s="199">
        <v>0.45000000000000007</v>
      </c>
      <c r="E63" s="199">
        <v>0.99651419322903922</v>
      </c>
      <c r="F63" s="130">
        <f t="shared" si="0"/>
        <v>0.45000000000000007</v>
      </c>
      <c r="G63" s="130">
        <f t="shared" si="1"/>
        <v>0.99505528258707721</v>
      </c>
    </row>
    <row r="64" spans="2:7" ht="15" x14ac:dyDescent="0.25">
      <c r="D64" s="199">
        <v>0.4</v>
      </c>
      <c r="E64" s="199">
        <v>0.99182547966505008</v>
      </c>
      <c r="F64" s="130">
        <f t="shared" si="0"/>
        <v>0.4</v>
      </c>
      <c r="G64" s="130">
        <f t="shared" si="1"/>
        <v>0.99037343336497308</v>
      </c>
    </row>
    <row r="65" spans="1:21" ht="15" x14ac:dyDescent="0.25">
      <c r="D65" s="199">
        <v>0.35</v>
      </c>
      <c r="E65" s="199">
        <v>0.98685705979302374</v>
      </c>
      <c r="F65" s="130">
        <f t="shared" si="0"/>
        <v>0.35</v>
      </c>
      <c r="G65" s="130">
        <f t="shared" si="1"/>
        <v>0.98541228732875796</v>
      </c>
    </row>
    <row r="66" spans="1:21" ht="15" x14ac:dyDescent="0.25">
      <c r="D66" s="199">
        <v>0.29999999999999993</v>
      </c>
      <c r="E66" s="199">
        <v>0.956259504102281</v>
      </c>
      <c r="F66" s="130">
        <f t="shared" si="0"/>
        <v>0.29999999999999993</v>
      </c>
      <c r="G66" s="130">
        <f t="shared" si="1"/>
        <v>0.95485952688520637</v>
      </c>
    </row>
    <row r="67" spans="1:21" ht="15" x14ac:dyDescent="0.25">
      <c r="D67" s="199">
        <v>0.24999999999999989</v>
      </c>
      <c r="E67" s="199">
        <v>0.9162626153766843</v>
      </c>
      <c r="F67" s="130">
        <f t="shared" si="0"/>
        <v>0.24999999999999989</v>
      </c>
      <c r="G67" s="130">
        <f t="shared" si="1"/>
        <v>0.91492119416112339</v>
      </c>
    </row>
    <row r="68" spans="1:21" ht="15" x14ac:dyDescent="0.25">
      <c r="D68" s="199">
        <v>0.19999999999999984</v>
      </c>
      <c r="E68" s="199">
        <v>0.8692986301353276</v>
      </c>
      <c r="F68" s="130">
        <f t="shared" si="0"/>
        <v>0.19999999999999984</v>
      </c>
      <c r="G68" s="130">
        <f t="shared" si="1"/>
        <v>0.86802596484750272</v>
      </c>
      <c r="R68" s="98"/>
      <c r="U68" s="29"/>
    </row>
    <row r="69" spans="1:21" ht="15" x14ac:dyDescent="0.25">
      <c r="D69" s="199">
        <v>0.1499999999999998</v>
      </c>
      <c r="E69" s="199">
        <v>0.80156768980916449</v>
      </c>
      <c r="F69" s="130">
        <f t="shared" si="0"/>
        <v>0.1499999999999998</v>
      </c>
      <c r="G69" s="130">
        <f t="shared" si="1"/>
        <v>0.80039418356022063</v>
      </c>
      <c r="R69" s="98"/>
      <c r="U69" s="29"/>
    </row>
    <row r="70" spans="1:21" ht="15" x14ac:dyDescent="0.25">
      <c r="A70" s="55"/>
      <c r="D70" s="199">
        <v>9.9999999999999756E-2</v>
      </c>
      <c r="E70" s="199">
        <v>0.72037056058960558</v>
      </c>
      <c r="F70" s="130">
        <f t="shared" si="0"/>
        <v>9.9999999999999756E-2</v>
      </c>
      <c r="G70" s="130">
        <f t="shared" si="1"/>
        <v>0.71931592806741851</v>
      </c>
    </row>
    <row r="71" spans="1:21" ht="15" x14ac:dyDescent="0.25">
      <c r="D71" s="199">
        <v>4.9999999999999711E-2</v>
      </c>
      <c r="E71" s="199">
        <v>0.65008160181524999</v>
      </c>
      <c r="F71" s="130">
        <f t="shared" si="0"/>
        <v>4.9999999999999711E-2</v>
      </c>
      <c r="G71" s="130">
        <f t="shared" si="1"/>
        <v>0.64912987330653826</v>
      </c>
    </row>
    <row r="72" spans="1:21" ht="15" x14ac:dyDescent="0.25">
      <c r="D72" s="199">
        <v>0</v>
      </c>
      <c r="E72" s="199">
        <v>0.55064299673172812</v>
      </c>
      <c r="F72" s="130">
        <f t="shared" si="0"/>
        <v>0</v>
      </c>
      <c r="G72" s="130">
        <f t="shared" si="1"/>
        <v>0.54983684772420549</v>
      </c>
    </row>
    <row r="74" spans="1:21" ht="15" x14ac:dyDescent="0.25">
      <c r="D74" s="130">
        <f>MAX(D52:D72)</f>
        <v>1</v>
      </c>
      <c r="E74" s="130">
        <f>MAX(E52:E72)</f>
        <v>1.0014661603907764</v>
      </c>
      <c r="F74" s="55" t="s">
        <v>343</v>
      </c>
    </row>
    <row r="76" spans="1:21" ht="15" x14ac:dyDescent="0.25">
      <c r="B76" s="55" t="s">
        <v>344</v>
      </c>
      <c r="D76" s="208">
        <v>3</v>
      </c>
    </row>
    <row r="77" spans="1:21" x14ac:dyDescent="0.2">
      <c r="G77" s="226"/>
      <c r="J77" s="59"/>
    </row>
    <row r="79" spans="1:21" x14ac:dyDescent="0.2">
      <c r="E79" s="226"/>
      <c r="J79" s="59"/>
    </row>
    <row r="80" spans="1:21" x14ac:dyDescent="0.2">
      <c r="E80" s="229"/>
    </row>
  </sheetData>
  <phoneticPr fontId="1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35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56" baseType="lpstr">
      <vt:lpstr>Cover Sheet</vt:lpstr>
      <vt:lpstr>Rev Sheet</vt:lpstr>
      <vt:lpstr>Ref Sheet</vt:lpstr>
      <vt:lpstr>Notes &amp; Instr</vt:lpstr>
      <vt:lpstr>Inputs</vt:lpstr>
      <vt:lpstr>Profile</vt:lpstr>
      <vt:lpstr>Cp</vt:lpstr>
      <vt:lpstr>Cwl</vt:lpstr>
      <vt:lpstr>CWD</vt:lpstr>
      <vt:lpstr>CMUpr</vt:lpstr>
      <vt:lpstr>Sections</vt:lpstr>
      <vt:lpstr>Bulkheads</vt:lpstr>
      <vt:lpstr>Decks</vt:lpstr>
      <vt:lpstr>SK Check</vt:lpstr>
      <vt:lpstr>Profile Calcs</vt:lpstr>
      <vt:lpstr>Cp Calcs</vt:lpstr>
      <vt:lpstr>Cp Ref Calcs</vt:lpstr>
      <vt:lpstr>Cwl Opt1 Calcs</vt:lpstr>
      <vt:lpstr>Cwl Opt2 Calcs</vt:lpstr>
      <vt:lpstr>Cwl Opt3 Calcs</vt:lpstr>
      <vt:lpstr>CWD Opt1 Calcs</vt:lpstr>
      <vt:lpstr>CWD Opt2 Calcs</vt:lpstr>
      <vt:lpstr>CWD Opt3 Calcs</vt:lpstr>
      <vt:lpstr>Mid Upr WL Opt1 Calcs</vt:lpstr>
      <vt:lpstr>Mid Upr WL Opt2 Calcs</vt:lpstr>
      <vt:lpstr>Cxx Selected</vt:lpstr>
      <vt:lpstr>Section Calcs</vt:lpstr>
      <vt:lpstr>BHD Calcs</vt:lpstr>
      <vt:lpstr>Decks Calcs</vt:lpstr>
      <vt:lpstr>Post-MNVDET Hull 03c1</vt:lpstr>
      <vt:lpstr>C</vt:lpstr>
      <vt:lpstr>Deadrise</vt:lpstr>
      <vt:lpstr>Offset Data</vt:lpstr>
      <vt:lpstr>Fbd Calcs</vt:lpstr>
      <vt:lpstr>Xfer Data to Vol</vt:lpstr>
      <vt:lpstr>Profile 1</vt:lpstr>
      <vt:lpstr>Profile 2</vt:lpstr>
      <vt:lpstr>Cm</vt:lpstr>
      <vt:lpstr>Transom</vt:lpstr>
      <vt:lpstr>Cp Plot</vt:lpstr>
      <vt:lpstr>Upr Hull</vt:lpstr>
      <vt:lpstr>Body Plan</vt:lpstr>
      <vt:lpstr>Enclosed Volume</vt:lpstr>
      <vt:lpstr>Deck Plots</vt:lpstr>
      <vt:lpstr>Fbd Check</vt:lpstr>
      <vt:lpstr>'Cp Calcs'!Data</vt:lpstr>
      <vt:lpstr>'CWD Opt1 Calcs'!Data</vt:lpstr>
      <vt:lpstr>'CWD Opt2 Calcs'!Data</vt:lpstr>
      <vt:lpstr>'CWD Opt3 Calcs'!Data</vt:lpstr>
      <vt:lpstr>'Cwl Opt1 Calcs'!Data</vt:lpstr>
      <vt:lpstr>'Cwl Opt2 Calcs'!Data</vt:lpstr>
      <vt:lpstr>'Cwl Opt3 Calcs'!Data</vt:lpstr>
      <vt:lpstr>'Mid Upr WL Opt1 Calcs'!Data</vt:lpstr>
      <vt:lpstr>'Mid Upr WL Opt2 Calcs'!Data</vt:lpstr>
      <vt:lpstr>Data</vt:lpstr>
      <vt:lpstr>'Cover Sheet'!TABLE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PFJN</dc:creator>
  <cp:lastModifiedBy>PFJN</cp:lastModifiedBy>
  <dcterms:created xsi:type="dcterms:W3CDTF">2009-07-01T01:42:28Z</dcterms:created>
  <dcterms:modified xsi:type="dcterms:W3CDTF">2015-09-01T02:57:54Z</dcterms:modified>
</cp:coreProperties>
</file>